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0070y272299\保険年金課\■賦課関係■\保険料計算\"/>
    </mc:Choice>
  </mc:AlternateContent>
  <bookViews>
    <workbookView xWindow="0" yWindow="0" windowWidth="14400" windowHeight="12180"/>
  </bookViews>
  <sheets>
    <sheet name="試算シート" sheetId="1" r:id="rId1"/>
    <sheet name="所得計算" sheetId="2" state="hidden" r:id="rId2"/>
    <sheet name="保険料計算" sheetId="3" state="hidden" r:id="rId3"/>
    <sheet name="料率入力欄" sheetId="4" state="hidden" r:id="rId4"/>
  </sheets>
  <definedNames>
    <definedName name="世帯主あり">#REF!</definedName>
    <definedName name="世帯主なし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4" l="1"/>
  <c r="K18" i="4"/>
  <c r="K17" i="4"/>
  <c r="K16" i="4"/>
  <c r="K15" i="4"/>
  <c r="K14" i="4"/>
  <c r="L19" i="4"/>
  <c r="L18" i="4"/>
  <c r="L16" i="4"/>
  <c r="L15" i="4"/>
  <c r="L14" i="4"/>
  <c r="J22" i="4"/>
  <c r="J21" i="4"/>
  <c r="J20" i="4"/>
  <c r="J19" i="4"/>
  <c r="J18" i="4"/>
  <c r="J17" i="4"/>
  <c r="J16" i="4"/>
  <c r="J15" i="4"/>
  <c r="J14" i="4"/>
  <c r="L17" i="4"/>
  <c r="K31" i="1" l="1"/>
  <c r="I60" i="1" l="1"/>
  <c r="G60" i="1"/>
  <c r="E60" i="1"/>
  <c r="B23" i="3" l="1"/>
  <c r="B24" i="3"/>
  <c r="B25" i="3"/>
  <c r="B26" i="3"/>
  <c r="C2" i="3" l="1"/>
  <c r="B2" i="3"/>
  <c r="N13" i="2"/>
  <c r="N14" i="2"/>
  <c r="N15" i="2"/>
  <c r="N16" i="2"/>
  <c r="N17" i="2"/>
  <c r="N12" i="2"/>
  <c r="K13" i="2"/>
  <c r="K14" i="2"/>
  <c r="K15" i="2"/>
  <c r="K16" i="2"/>
  <c r="K17" i="2"/>
  <c r="K12" i="2"/>
  <c r="J13" i="2"/>
  <c r="J14" i="2"/>
  <c r="J15" i="2"/>
  <c r="J16" i="2"/>
  <c r="J17" i="2"/>
  <c r="J12" i="2"/>
  <c r="I13" i="2"/>
  <c r="I14" i="2"/>
  <c r="I15" i="2"/>
  <c r="I16" i="2"/>
  <c r="I17" i="2"/>
  <c r="I12" i="2"/>
  <c r="H13" i="2"/>
  <c r="H14" i="2"/>
  <c r="H15" i="2"/>
  <c r="H16" i="2"/>
  <c r="H17" i="2"/>
  <c r="H12" i="2"/>
  <c r="G13" i="2"/>
  <c r="G14" i="2"/>
  <c r="G15" i="2"/>
  <c r="G16" i="2"/>
  <c r="G17" i="2"/>
  <c r="G12" i="2"/>
  <c r="F13" i="2"/>
  <c r="F14" i="2"/>
  <c r="F15" i="2"/>
  <c r="F16" i="2"/>
  <c r="F17" i="2"/>
  <c r="F12" i="2"/>
  <c r="E13" i="2"/>
  <c r="E14" i="2"/>
  <c r="E15" i="2"/>
  <c r="E16" i="2"/>
  <c r="E17" i="2"/>
  <c r="E12" i="2"/>
  <c r="D13" i="2"/>
  <c r="D14" i="2"/>
  <c r="D15" i="2"/>
  <c r="D16" i="2"/>
  <c r="D17" i="2"/>
  <c r="D12" i="2"/>
  <c r="C13" i="2"/>
  <c r="C14" i="2"/>
  <c r="C15" i="2"/>
  <c r="C16" i="2"/>
  <c r="C17" i="2"/>
  <c r="C12" i="2"/>
  <c r="B13" i="2"/>
  <c r="B14" i="2"/>
  <c r="B15" i="2"/>
  <c r="B16" i="2"/>
  <c r="B17" i="2"/>
  <c r="B12" i="2"/>
  <c r="K4" i="2"/>
  <c r="K5" i="2"/>
  <c r="K6" i="2"/>
  <c r="K7" i="2"/>
  <c r="K8" i="2"/>
  <c r="K3" i="2"/>
  <c r="J4" i="2"/>
  <c r="J5" i="2"/>
  <c r="J6" i="2"/>
  <c r="J7" i="2"/>
  <c r="J8" i="2"/>
  <c r="J3" i="2"/>
  <c r="I4" i="2"/>
  <c r="I5" i="2"/>
  <c r="I6" i="2"/>
  <c r="I7" i="2"/>
  <c r="I8" i="2"/>
  <c r="I3" i="2"/>
  <c r="H4" i="2"/>
  <c r="H5" i="2"/>
  <c r="H6" i="2"/>
  <c r="H7" i="2"/>
  <c r="H8" i="2"/>
  <c r="H3" i="2"/>
  <c r="G4" i="2"/>
  <c r="G5" i="2"/>
  <c r="G6" i="2"/>
  <c r="G7" i="2"/>
  <c r="G8" i="2"/>
  <c r="G3" i="2"/>
  <c r="F4" i="2"/>
  <c r="F5" i="2"/>
  <c r="F6" i="2"/>
  <c r="F7" i="2"/>
  <c r="F8" i="2"/>
  <c r="F3" i="2"/>
  <c r="E4" i="2" l="1"/>
  <c r="E5" i="2"/>
  <c r="E6" i="2"/>
  <c r="E7" i="2"/>
  <c r="E8" i="2"/>
  <c r="E3" i="2"/>
  <c r="D4" i="2"/>
  <c r="D5" i="2"/>
  <c r="D6" i="2"/>
  <c r="D7" i="2"/>
  <c r="D8" i="2"/>
  <c r="D3" i="2"/>
  <c r="C4" i="2"/>
  <c r="C5" i="2"/>
  <c r="C6" i="2"/>
  <c r="C7" i="2"/>
  <c r="C8" i="2"/>
  <c r="C3" i="2"/>
  <c r="B4" i="2"/>
  <c r="B5" i="2"/>
  <c r="B6" i="2"/>
  <c r="B7" i="2"/>
  <c r="B8" i="2"/>
  <c r="B3" i="2"/>
  <c r="L6" i="2" l="1"/>
  <c r="L16" i="2" l="1"/>
  <c r="H30" i="1" s="1"/>
  <c r="L13" i="2"/>
  <c r="H27" i="1" s="1"/>
  <c r="L15" i="2"/>
  <c r="H29" i="1" s="1"/>
  <c r="L7" i="2"/>
  <c r="L4" i="2"/>
  <c r="L8" i="2"/>
  <c r="L3" i="2"/>
  <c r="L14" i="2"/>
  <c r="H28" i="1" s="1"/>
  <c r="L5" i="2"/>
  <c r="L12" i="2"/>
  <c r="H26" i="1" s="1"/>
  <c r="L17" i="2"/>
  <c r="H31" i="1" s="1"/>
  <c r="M6" i="2" l="1"/>
  <c r="M7" i="2"/>
  <c r="M4" i="2"/>
  <c r="O13" i="2" s="1"/>
  <c r="M3" i="2"/>
  <c r="O12" i="2" s="1"/>
  <c r="M8" i="2"/>
  <c r="M5" i="2"/>
  <c r="O14" i="2" s="1"/>
  <c r="F31" i="1" l="1"/>
  <c r="J31" i="1" s="1"/>
  <c r="O17" i="2"/>
  <c r="F30" i="1"/>
  <c r="J30" i="1" s="1"/>
  <c r="K30" i="1" s="1"/>
  <c r="O16" i="2"/>
  <c r="F29" i="1"/>
  <c r="J29" i="1" s="1"/>
  <c r="K29" i="1" s="1"/>
  <c r="O15" i="2"/>
  <c r="F28" i="1"/>
  <c r="J28" i="1" s="1"/>
  <c r="K28" i="1" s="1"/>
  <c r="F27" i="1"/>
  <c r="J27" i="1" s="1"/>
  <c r="K27" i="1" s="1"/>
  <c r="B22" i="3" s="1"/>
  <c r="F26" i="1"/>
  <c r="J26" i="1" s="1"/>
  <c r="K26" i="1" s="1"/>
  <c r="B14" i="3" l="1"/>
  <c r="B6" i="3"/>
  <c r="B10" i="3"/>
  <c r="B18" i="3"/>
  <c r="B15" i="3"/>
  <c r="B7" i="3"/>
  <c r="B17" i="3"/>
  <c r="B9" i="3"/>
  <c r="B8" i="3"/>
  <c r="B16" i="3"/>
  <c r="B21" i="3"/>
  <c r="I39" i="1" s="1"/>
  <c r="B13" i="3"/>
  <c r="B5" i="3"/>
  <c r="O18" i="2"/>
  <c r="E39" i="1" l="1"/>
  <c r="G39" i="1"/>
  <c r="D2" i="3"/>
  <c r="E2" i="3" s="1"/>
  <c r="F2" i="3" s="1"/>
  <c r="P1" i="3" l="1"/>
  <c r="X1" i="3" s="1"/>
  <c r="H23" i="3"/>
  <c r="D23" i="3"/>
  <c r="H24" i="3"/>
  <c r="D24" i="3"/>
  <c r="H25" i="3"/>
  <c r="D25" i="3"/>
  <c r="D22" i="3"/>
  <c r="H26" i="3"/>
  <c r="D26" i="3"/>
  <c r="H22" i="3"/>
  <c r="H21" i="3"/>
  <c r="D21" i="3"/>
  <c r="H14" i="3"/>
  <c r="D14" i="3"/>
  <c r="H15" i="3"/>
  <c r="D15" i="3"/>
  <c r="D9" i="3"/>
  <c r="D10" i="3"/>
  <c r="H5" i="3"/>
  <c r="L13" i="3"/>
  <c r="H16" i="3"/>
  <c r="D16" i="3"/>
  <c r="H6" i="3"/>
  <c r="D6" i="3"/>
  <c r="H17" i="3"/>
  <c r="D17" i="3"/>
  <c r="H7" i="3"/>
  <c r="D7" i="3"/>
  <c r="D13" i="3"/>
  <c r="H9" i="3"/>
  <c r="H18" i="3"/>
  <c r="D18" i="3"/>
  <c r="L5" i="3"/>
  <c r="H8" i="3"/>
  <c r="D8" i="3"/>
  <c r="H13" i="3"/>
  <c r="H10" i="3"/>
  <c r="D5" i="3"/>
  <c r="P2" i="3" l="1"/>
  <c r="X2" i="3" s="1"/>
  <c r="I22" i="3"/>
  <c r="E22" i="3"/>
  <c r="I23" i="3"/>
  <c r="E23" i="3"/>
  <c r="E26" i="3"/>
  <c r="E21" i="3"/>
  <c r="I24" i="3"/>
  <c r="E24" i="3"/>
  <c r="I26" i="3"/>
  <c r="I25" i="3"/>
  <c r="E25" i="3"/>
  <c r="I21" i="3"/>
  <c r="I10" i="3"/>
  <c r="E10" i="3"/>
  <c r="M13" i="3"/>
  <c r="I5" i="3"/>
  <c r="E5" i="3"/>
  <c r="I17" i="3"/>
  <c r="I7" i="3"/>
  <c r="I8" i="3"/>
  <c r="E8" i="3"/>
  <c r="E13" i="3"/>
  <c r="I14" i="3"/>
  <c r="E14" i="3"/>
  <c r="I15" i="3"/>
  <c r="E15" i="3"/>
  <c r="M5" i="3"/>
  <c r="I18" i="3"/>
  <c r="E18" i="3"/>
  <c r="I16" i="3"/>
  <c r="E16" i="3"/>
  <c r="I6" i="3"/>
  <c r="E6" i="3"/>
  <c r="E17" i="3"/>
  <c r="E7" i="3"/>
  <c r="I13" i="3"/>
  <c r="I9" i="3"/>
  <c r="E9" i="3"/>
  <c r="H28" i="3"/>
  <c r="F15" i="3" l="1"/>
  <c r="P3" i="3"/>
  <c r="X3" i="3" s="1"/>
  <c r="X5" i="3" s="1"/>
  <c r="C57" i="1" s="1"/>
  <c r="C10" i="3"/>
  <c r="C7" i="3"/>
  <c r="G23" i="3"/>
  <c r="G24" i="3"/>
  <c r="C25" i="3"/>
  <c r="G15" i="3"/>
  <c r="C16" i="3"/>
  <c r="C23" i="3"/>
  <c r="G7" i="3"/>
  <c r="C18" i="3"/>
  <c r="K13" i="3"/>
  <c r="C5" i="3"/>
  <c r="C22" i="3"/>
  <c r="C9" i="3"/>
  <c r="G21" i="3"/>
  <c r="C13" i="3"/>
  <c r="G26" i="3"/>
  <c r="G9" i="3"/>
  <c r="G25" i="3"/>
  <c r="K5" i="3"/>
  <c r="G6" i="3"/>
  <c r="G16" i="3"/>
  <c r="G10" i="3"/>
  <c r="G18" i="3"/>
  <c r="G5" i="3"/>
  <c r="I28" i="3"/>
  <c r="C17" i="3"/>
  <c r="G13" i="3"/>
  <c r="C21" i="3"/>
  <c r="C15" i="3"/>
  <c r="C8" i="3"/>
  <c r="G14" i="3"/>
  <c r="C6" i="3"/>
  <c r="J21" i="3"/>
  <c r="F21" i="3"/>
  <c r="J24" i="3"/>
  <c r="F24" i="3"/>
  <c r="J25" i="3"/>
  <c r="J26" i="3"/>
  <c r="J22" i="3"/>
  <c r="F22" i="3"/>
  <c r="F25" i="3"/>
  <c r="J23" i="3"/>
  <c r="F23" i="3"/>
  <c r="F26" i="3"/>
  <c r="N13" i="3"/>
  <c r="J18" i="3"/>
  <c r="F18" i="3"/>
  <c r="J8" i="3"/>
  <c r="F8" i="3"/>
  <c r="J13" i="3"/>
  <c r="F13" i="3"/>
  <c r="J9" i="3"/>
  <c r="F9" i="3"/>
  <c r="N5" i="3"/>
  <c r="J10" i="3"/>
  <c r="F10" i="3"/>
  <c r="J5" i="3"/>
  <c r="F5" i="3"/>
  <c r="J15" i="3"/>
  <c r="J6" i="3"/>
  <c r="F6" i="3"/>
  <c r="J14" i="3"/>
  <c r="F14" i="3"/>
  <c r="J16" i="3"/>
  <c r="F16" i="3"/>
  <c r="J7" i="3"/>
  <c r="F7" i="3"/>
  <c r="J17" i="3"/>
  <c r="F17" i="3"/>
  <c r="G17" i="3"/>
  <c r="C26" i="3"/>
  <c r="G22" i="3"/>
  <c r="G8" i="3"/>
  <c r="C24" i="3"/>
  <c r="C14" i="3"/>
  <c r="G47" i="1" l="1"/>
  <c r="G28" i="3"/>
  <c r="G43" i="1"/>
  <c r="E43" i="1"/>
  <c r="E47" i="1"/>
  <c r="I43" i="1"/>
  <c r="J28" i="3"/>
  <c r="G51" i="1" l="1"/>
  <c r="I51" i="1"/>
  <c r="E51" i="1"/>
  <c r="H67" i="1" l="1"/>
  <c r="H73" i="1" s="1"/>
</calcChain>
</file>

<file path=xl/sharedStrings.xml><?xml version="1.0" encoding="utf-8"?>
<sst xmlns="http://schemas.openxmlformats.org/spreadsheetml/2006/main" count="170" uniqueCount="113">
  <si>
    <t>※世帯員及び加入される方を入力してください。</t>
    <rPh sb="4" eb="5">
      <t>オヨ</t>
    </rPh>
    <rPh sb="6" eb="8">
      <t>カニュウ</t>
    </rPh>
    <rPh sb="11" eb="12">
      <t>カタ</t>
    </rPh>
    <rPh sb="13" eb="15">
      <t>ニュウリョク</t>
    </rPh>
    <phoneticPr fontId="4"/>
  </si>
  <si>
    <t>　　（世帯主については、加入されない場合でも必ず入力してください。）</t>
  </si>
  <si>
    <t>※試算結果は、端数調整などにより、実際の保険料と異なる場合があります。</t>
    <rPh sb="1" eb="3">
      <t>シサン</t>
    </rPh>
    <rPh sb="3" eb="5">
      <t>ケッカ</t>
    </rPh>
    <rPh sb="7" eb="9">
      <t>ハスウ</t>
    </rPh>
    <rPh sb="9" eb="11">
      <t>チョウセイ</t>
    </rPh>
    <rPh sb="18" eb="19">
      <t>ケツジツ</t>
    </rPh>
    <rPh sb="20" eb="23">
      <t>ホケンリョウ</t>
    </rPh>
    <rPh sb="24" eb="25">
      <t>コト</t>
    </rPh>
    <rPh sb="27" eb="29">
      <t>バアイ</t>
    </rPh>
    <phoneticPr fontId="12"/>
  </si>
  <si>
    <t>※世帯主及び加入者で未申告の方がいる場合、保険料が正しく計算できず、実際の保険料と異なる場合があります。</t>
    <rPh sb="1" eb="2">
      <t>セ</t>
    </rPh>
    <phoneticPr fontId="4"/>
  </si>
  <si>
    <t>※次の場合の保険料は正しく計算できません</t>
    <rPh sb="1" eb="2">
      <t>ツギ</t>
    </rPh>
    <rPh sb="3" eb="5">
      <t>バアイ</t>
    </rPh>
    <rPh sb="6" eb="9">
      <t>ホケンリョウ</t>
    </rPh>
    <rPh sb="10" eb="11">
      <t>タダ</t>
    </rPh>
    <rPh sb="13" eb="15">
      <t>ケイサン</t>
    </rPh>
    <phoneticPr fontId="4"/>
  </si>
  <si>
    <t>・年度途中に加入者の所得・人数が変わる場合</t>
    <rPh sb="1" eb="5">
      <t>ネンドトチュウ</t>
    </rPh>
    <rPh sb="6" eb="9">
      <t>カニュウシャ</t>
    </rPh>
    <rPh sb="10" eb="12">
      <t>ショトク</t>
    </rPh>
    <rPh sb="13" eb="15">
      <t>ニンズウ</t>
    </rPh>
    <rPh sb="16" eb="17">
      <t>カ</t>
    </rPh>
    <rPh sb="19" eb="21">
      <t>バアイ</t>
    </rPh>
    <phoneticPr fontId="4"/>
  </si>
  <si>
    <t>・年度途中に加入者が7歳・40歳・65歳・75歳となる場合</t>
    <rPh sb="1" eb="3">
      <t>ネンド</t>
    </rPh>
    <rPh sb="3" eb="5">
      <t>トチュウ</t>
    </rPh>
    <rPh sb="6" eb="9">
      <t>カニュウシャ</t>
    </rPh>
    <rPh sb="27" eb="29">
      <t>バアイ</t>
    </rPh>
    <phoneticPr fontId="4"/>
  </si>
  <si>
    <t>・専従者給与または専従者控除等がある場合</t>
    <rPh sb="9" eb="12">
      <t>センジュウシャ</t>
    </rPh>
    <rPh sb="18" eb="20">
      <t>バアイ</t>
    </rPh>
    <phoneticPr fontId="4"/>
  </si>
  <si>
    <t>・分離課税所得・繰越損失がある場合</t>
    <rPh sb="3" eb="5">
      <t>カゼイ</t>
    </rPh>
    <rPh sb="15" eb="17">
      <t>バアイ</t>
    </rPh>
    <phoneticPr fontId="4"/>
  </si>
  <si>
    <t>・産前産後期間に係る軽減措置に該当する場合</t>
    <rPh sb="1" eb="5">
      <t>サンゼンサンゴ</t>
    </rPh>
    <rPh sb="5" eb="7">
      <t>キカン</t>
    </rPh>
    <rPh sb="8" eb="9">
      <t>カカ</t>
    </rPh>
    <rPh sb="10" eb="14">
      <t>ケイゲンソチ</t>
    </rPh>
    <rPh sb="15" eb="17">
      <t>ガイトウ</t>
    </rPh>
    <rPh sb="19" eb="21">
      <t>バアイ</t>
    </rPh>
    <phoneticPr fontId="4"/>
  </si>
  <si>
    <t>加入</t>
    <rPh sb="0" eb="2">
      <t>カニュウ</t>
    </rPh>
    <phoneticPr fontId="4"/>
  </si>
  <si>
    <t>年齢</t>
    <rPh sb="0" eb="2">
      <t>ネンレイ</t>
    </rPh>
    <phoneticPr fontId="4"/>
  </si>
  <si>
    <t>給与収入</t>
    <rPh sb="0" eb="4">
      <t>キュウヨシュウニュウ</t>
    </rPh>
    <phoneticPr fontId="4"/>
  </si>
  <si>
    <t>給与所得</t>
    <rPh sb="0" eb="4">
      <t>キュウヨショトク</t>
    </rPh>
    <phoneticPr fontId="4"/>
  </si>
  <si>
    <t>年金収入</t>
    <rPh sb="0" eb="4">
      <t>ネンキンシュウニュウ</t>
    </rPh>
    <phoneticPr fontId="4"/>
  </si>
  <si>
    <t>年金所得</t>
    <rPh sb="0" eb="4">
      <t>ネンキンショトク</t>
    </rPh>
    <phoneticPr fontId="4"/>
  </si>
  <si>
    <t>それ以外の
所得</t>
    <rPh sb="2" eb="4">
      <t>イガイ</t>
    </rPh>
    <rPh sb="6" eb="8">
      <t>ショトク</t>
    </rPh>
    <phoneticPr fontId="4"/>
  </si>
  <si>
    <t>合計所得</t>
    <rPh sb="0" eb="4">
      <t>ゴウケイショトク</t>
    </rPh>
    <phoneticPr fontId="4"/>
  </si>
  <si>
    <t>計算の基となる所得</t>
    <rPh sb="0" eb="2">
      <t>ケイサン</t>
    </rPh>
    <rPh sb="3" eb="4">
      <t>モト</t>
    </rPh>
    <rPh sb="7" eb="9">
      <t>ショトク</t>
    </rPh>
    <phoneticPr fontId="4"/>
  </si>
  <si>
    <t>世帯主</t>
    <rPh sb="0" eb="3">
      <t>セタイヌシ</t>
    </rPh>
    <phoneticPr fontId="4"/>
  </si>
  <si>
    <t>世帯員1</t>
    <rPh sb="0" eb="3">
      <t>セタイイン</t>
    </rPh>
    <phoneticPr fontId="4"/>
  </si>
  <si>
    <t>世帯員2</t>
    <rPh sb="0" eb="3">
      <t>セタイイン</t>
    </rPh>
    <phoneticPr fontId="4"/>
  </si>
  <si>
    <t>世帯員3</t>
    <rPh sb="0" eb="3">
      <t>セタイイン</t>
    </rPh>
    <phoneticPr fontId="4"/>
  </si>
  <si>
    <t>世帯員4</t>
    <rPh sb="0" eb="3">
      <t>セタイイン</t>
    </rPh>
    <phoneticPr fontId="4"/>
  </si>
  <si>
    <t>世帯員5</t>
    <rPh sb="0" eb="3">
      <t>セタイイン</t>
    </rPh>
    <phoneticPr fontId="4"/>
  </si>
  <si>
    <t>医療分</t>
    <rPh sb="0" eb="3">
      <t>イリョウブン</t>
    </rPh>
    <phoneticPr fontId="4"/>
  </si>
  <si>
    <t>所得割</t>
    <rPh sb="0" eb="3">
      <t>ショトクワリ</t>
    </rPh>
    <phoneticPr fontId="4"/>
  </si>
  <si>
    <t>均等割</t>
    <rPh sb="0" eb="3">
      <t>キントウワ</t>
    </rPh>
    <phoneticPr fontId="4"/>
  </si>
  <si>
    <t>平等割</t>
    <rPh sb="0" eb="3">
      <t>ビョウドウワリ</t>
    </rPh>
    <phoneticPr fontId="4"/>
  </si>
  <si>
    <t>合計額</t>
    <rPh sb="0" eb="3">
      <t>ゴウケイガク</t>
    </rPh>
    <phoneticPr fontId="4"/>
  </si>
  <si>
    <t>賦課限度額</t>
    <rPh sb="0" eb="5">
      <t>フカゲンドガク</t>
    </rPh>
    <phoneticPr fontId="4"/>
  </si>
  <si>
    <t>年間国民健康保険料</t>
    <rPh sb="0" eb="2">
      <t>ネンカン</t>
    </rPh>
    <rPh sb="2" eb="4">
      <t>コクミン</t>
    </rPh>
    <rPh sb="4" eb="6">
      <t>ケンコウ</t>
    </rPh>
    <rPh sb="6" eb="9">
      <t>ホケンリョウ</t>
    </rPh>
    <phoneticPr fontId="4"/>
  </si>
  <si>
    <t>1か月あたりの保険料</t>
    <rPh sb="2" eb="3">
      <t>ゲツ</t>
    </rPh>
    <rPh sb="7" eb="10">
      <t>ホケンリョウ</t>
    </rPh>
    <phoneticPr fontId="4"/>
  </si>
  <si>
    <t>※年間国民健康保険料は、4月から翌年3月までの保険料の試算額です。</t>
    <rPh sb="3" eb="5">
      <t>コクミン</t>
    </rPh>
    <rPh sb="5" eb="7">
      <t>ケンコウ</t>
    </rPh>
    <phoneticPr fontId="4"/>
  </si>
  <si>
    <t>※１か月あたりの保険料は年間保険料を１２か月で除した保険料です。</t>
  </si>
  <si>
    <t>【上記結果はあくまでも試算であり、実際の保険料額と異なる場合があります】</t>
    <rPh sb="1" eb="5">
      <t>ジョウキケッカ</t>
    </rPh>
    <rPh sb="11" eb="13">
      <t>シサン</t>
    </rPh>
    <rPh sb="17" eb="19">
      <t>ジッサイ</t>
    </rPh>
    <rPh sb="20" eb="23">
      <t>ホケンリョウ</t>
    </rPh>
    <rPh sb="23" eb="24">
      <t>ガク</t>
    </rPh>
    <rPh sb="25" eb="26">
      <t>コト</t>
    </rPh>
    <rPh sb="28" eb="30">
      <t>バアイ</t>
    </rPh>
    <phoneticPr fontId="4"/>
  </si>
  <si>
    <t>給与所得（調整控除前）</t>
    <rPh sb="0" eb="4">
      <t>キュウヨショトク</t>
    </rPh>
    <rPh sb="5" eb="10">
      <t>チョウセイコウジョマエ</t>
    </rPh>
    <phoneticPr fontId="4"/>
  </si>
  <si>
    <t>調整控除前</t>
    <rPh sb="0" eb="4">
      <t>チョウセイコウジョ</t>
    </rPh>
    <rPh sb="4" eb="5">
      <t>マエ</t>
    </rPh>
    <phoneticPr fontId="4"/>
  </si>
  <si>
    <t>調整控除後</t>
    <rPh sb="0" eb="5">
      <t>チョウセイコウジョゴ</t>
    </rPh>
    <phoneticPr fontId="4"/>
  </si>
  <si>
    <t>給与額</t>
    <rPh sb="0" eb="3">
      <t>キュウヨガク</t>
    </rPh>
    <phoneticPr fontId="4"/>
  </si>
  <si>
    <t>551,000~1,618,999</t>
    <phoneticPr fontId="4"/>
  </si>
  <si>
    <t>1,619,000~1,619,999</t>
    <phoneticPr fontId="4"/>
  </si>
  <si>
    <t>1,620,000~1,621,999</t>
    <phoneticPr fontId="4"/>
  </si>
  <si>
    <t>1,622,000~1,623,999</t>
    <phoneticPr fontId="4"/>
  </si>
  <si>
    <t>1,624,000~1,627,999</t>
    <phoneticPr fontId="4"/>
  </si>
  <si>
    <t>1,628,000~1,803,999</t>
    <phoneticPr fontId="4"/>
  </si>
  <si>
    <t>1,804,000~3,603,999</t>
    <phoneticPr fontId="4"/>
  </si>
  <si>
    <t>3,604,000~6,599,999</t>
    <phoneticPr fontId="4"/>
  </si>
  <si>
    <t>6,600,000~8,500,000</t>
    <phoneticPr fontId="4"/>
  </si>
  <si>
    <t>8,500,001~</t>
    <phoneticPr fontId="4"/>
  </si>
  <si>
    <t>世帯員１</t>
    <rPh sb="0" eb="3">
      <t>セタイイン</t>
    </rPh>
    <phoneticPr fontId="4"/>
  </si>
  <si>
    <t>世帯員２</t>
    <rPh sb="0" eb="3">
      <t>セタイイン</t>
    </rPh>
    <phoneticPr fontId="4"/>
  </si>
  <si>
    <t>世帯員３</t>
    <rPh sb="0" eb="3">
      <t>セタイイン</t>
    </rPh>
    <phoneticPr fontId="4"/>
  </si>
  <si>
    <t>世帯員４</t>
    <rPh sb="0" eb="3">
      <t>セタイイン</t>
    </rPh>
    <phoneticPr fontId="4"/>
  </si>
  <si>
    <t>世帯員５</t>
    <rPh sb="0" eb="3">
      <t>セタイイン</t>
    </rPh>
    <phoneticPr fontId="4"/>
  </si>
  <si>
    <t>年金所得</t>
    <rPh sb="0" eb="2">
      <t>ネンキン</t>
    </rPh>
    <rPh sb="2" eb="4">
      <t>ショトク</t>
    </rPh>
    <phoneticPr fontId="4"/>
  </si>
  <si>
    <t>65歳未満　年金以外合計所得　1,000万円以下</t>
    <rPh sb="2" eb="5">
      <t>サイミマン</t>
    </rPh>
    <rPh sb="6" eb="10">
      <t>ネンキンイガイ</t>
    </rPh>
    <rPh sb="10" eb="14">
      <t>ゴウケイショトク</t>
    </rPh>
    <rPh sb="21" eb="22">
      <t>エン</t>
    </rPh>
    <rPh sb="22" eb="24">
      <t>イカ</t>
    </rPh>
    <phoneticPr fontId="4"/>
  </si>
  <si>
    <t>65歳以上　年金以外合計所得　1,000万円以下</t>
    <rPh sb="2" eb="5">
      <t>サイイジョウ</t>
    </rPh>
    <rPh sb="6" eb="10">
      <t>ネンキンイガイ</t>
    </rPh>
    <rPh sb="10" eb="14">
      <t>ゴウケイショトク</t>
    </rPh>
    <rPh sb="21" eb="22">
      <t>エン</t>
    </rPh>
    <rPh sb="22" eb="24">
      <t>イカ</t>
    </rPh>
    <phoneticPr fontId="4"/>
  </si>
  <si>
    <t>所得</t>
    <rPh sb="0" eb="2">
      <t>ショトク</t>
    </rPh>
    <phoneticPr fontId="4"/>
  </si>
  <si>
    <t>給与
所得者等か</t>
    <rPh sb="0" eb="2">
      <t>キュウヨ</t>
    </rPh>
    <rPh sb="3" eb="5">
      <t>ショトク</t>
    </rPh>
    <rPh sb="5" eb="6">
      <t>シャ</t>
    </rPh>
    <rPh sb="6" eb="7">
      <t>トウ</t>
    </rPh>
    <phoneticPr fontId="4"/>
  </si>
  <si>
    <t>軽減
判定金額</t>
    <rPh sb="0" eb="2">
      <t>ケイゲン</t>
    </rPh>
    <rPh sb="3" eb="5">
      <t>ハンテイ</t>
    </rPh>
    <rPh sb="5" eb="7">
      <t>キンガク</t>
    </rPh>
    <phoneticPr fontId="4"/>
  </si>
  <si>
    <t>年金額</t>
    <rPh sb="0" eb="3">
      <t>ネンキンガク</t>
    </rPh>
    <phoneticPr fontId="4"/>
  </si>
  <si>
    <t>～1,300,000</t>
    <phoneticPr fontId="4"/>
  </si>
  <si>
    <t>1,300,001~4,100,000</t>
    <phoneticPr fontId="4"/>
  </si>
  <si>
    <t>4,100,001~7,700,000</t>
    <phoneticPr fontId="4"/>
  </si>
  <si>
    <t>7,700,001~10,000,000</t>
    <phoneticPr fontId="4"/>
  </si>
  <si>
    <t>10,000,001~</t>
    <phoneticPr fontId="4"/>
  </si>
  <si>
    <t>～3,300,000</t>
    <phoneticPr fontId="4"/>
  </si>
  <si>
    <t>3,300,001~4,100,000</t>
    <phoneticPr fontId="4"/>
  </si>
  <si>
    <t>軽減割合</t>
    <rPh sb="0" eb="4">
      <t>ケイゲンワリアイ</t>
    </rPh>
    <phoneticPr fontId="4"/>
  </si>
  <si>
    <t>世帯
所得者数</t>
    <rPh sb="0" eb="2">
      <t>セタイ</t>
    </rPh>
    <rPh sb="3" eb="6">
      <t>ショトクシャ</t>
    </rPh>
    <rPh sb="6" eb="7">
      <t>スウ</t>
    </rPh>
    <phoneticPr fontId="4"/>
  </si>
  <si>
    <t>被保険者数</t>
    <rPh sb="0" eb="5">
      <t>ヒホケンシャスウ</t>
    </rPh>
    <phoneticPr fontId="4"/>
  </si>
  <si>
    <t>７割</t>
    <rPh sb="1" eb="2">
      <t>ワリ</t>
    </rPh>
    <phoneticPr fontId="4"/>
  </si>
  <si>
    <t>５割</t>
    <rPh sb="1" eb="2">
      <t>ワリ</t>
    </rPh>
    <phoneticPr fontId="4"/>
  </si>
  <si>
    <t>２割</t>
    <rPh sb="1" eb="2">
      <t>ワリ</t>
    </rPh>
    <phoneticPr fontId="4"/>
  </si>
  <si>
    <t>世帯</t>
    <rPh sb="0" eb="2">
      <t>セタイ</t>
    </rPh>
    <phoneticPr fontId="4"/>
  </si>
  <si>
    <t>←軽減判定所得の見直しは、ここの式を修正</t>
    <rPh sb="1" eb="5">
      <t>ケイゲンハンテイ</t>
    </rPh>
    <rPh sb="5" eb="7">
      <t>ショトク</t>
    </rPh>
    <rPh sb="8" eb="10">
      <t>ミナオ</t>
    </rPh>
    <rPh sb="16" eb="17">
      <t>シキ</t>
    </rPh>
    <rPh sb="18" eb="20">
      <t>シュウセイ</t>
    </rPh>
    <phoneticPr fontId="4"/>
  </si>
  <si>
    <t>均等割
（7割）</t>
    <rPh sb="0" eb="3">
      <t>キントウワ</t>
    </rPh>
    <rPh sb="6" eb="7">
      <t>ワリ</t>
    </rPh>
    <phoneticPr fontId="4"/>
  </si>
  <si>
    <t>均等割
（5割）</t>
    <rPh sb="0" eb="3">
      <t>キントウワ</t>
    </rPh>
    <rPh sb="6" eb="7">
      <t>ワリ</t>
    </rPh>
    <phoneticPr fontId="4"/>
  </si>
  <si>
    <t>均等割
（2割）</t>
    <rPh sb="0" eb="3">
      <t>キントウワ</t>
    </rPh>
    <rPh sb="6" eb="7">
      <t>ワリ</t>
    </rPh>
    <phoneticPr fontId="4"/>
  </si>
  <si>
    <t>均等割
（子）</t>
    <rPh sb="0" eb="3">
      <t>キントウワ</t>
    </rPh>
    <rPh sb="5" eb="6">
      <t>コ</t>
    </rPh>
    <phoneticPr fontId="4"/>
  </si>
  <si>
    <t>均等割
（子・7割）</t>
    <rPh sb="0" eb="3">
      <t>キントウワ</t>
    </rPh>
    <rPh sb="5" eb="6">
      <t>コ</t>
    </rPh>
    <rPh sb="8" eb="9">
      <t>ワリ</t>
    </rPh>
    <phoneticPr fontId="4"/>
  </si>
  <si>
    <t>均等割
（子・5割）</t>
    <rPh sb="0" eb="3">
      <t>キントウワ</t>
    </rPh>
    <rPh sb="5" eb="6">
      <t>コ</t>
    </rPh>
    <rPh sb="8" eb="9">
      <t>ワリ</t>
    </rPh>
    <phoneticPr fontId="4"/>
  </si>
  <si>
    <t>均等割
（子・2割）</t>
    <rPh sb="0" eb="3">
      <t>キントウワ</t>
    </rPh>
    <rPh sb="5" eb="6">
      <t>コ</t>
    </rPh>
    <rPh sb="8" eb="9">
      <t>ワリ</t>
    </rPh>
    <phoneticPr fontId="4"/>
  </si>
  <si>
    <t>平等割
（7割）</t>
    <rPh sb="0" eb="2">
      <t>ビョウドウ</t>
    </rPh>
    <rPh sb="2" eb="3">
      <t>ワリ</t>
    </rPh>
    <rPh sb="6" eb="7">
      <t>ワリ</t>
    </rPh>
    <phoneticPr fontId="4"/>
  </si>
  <si>
    <t>平等割
（5割）</t>
    <rPh sb="0" eb="2">
      <t>ビョウドウ</t>
    </rPh>
    <rPh sb="2" eb="3">
      <t>ワリ</t>
    </rPh>
    <rPh sb="6" eb="7">
      <t>ワリ</t>
    </rPh>
    <phoneticPr fontId="4"/>
  </si>
  <si>
    <t>平等割
（2割）</t>
    <rPh sb="0" eb="2">
      <t>ビョウドウ</t>
    </rPh>
    <rPh sb="2" eb="3">
      <t>ワリ</t>
    </rPh>
    <rPh sb="6" eb="7">
      <t>ワリ</t>
    </rPh>
    <phoneticPr fontId="4"/>
  </si>
  <si>
    <t>支援金分</t>
    <rPh sb="0" eb="3">
      <t>シエンキン</t>
    </rPh>
    <rPh sb="3" eb="4">
      <t>ブン</t>
    </rPh>
    <phoneticPr fontId="4"/>
  </si>
  <si>
    <t>介護分</t>
    <rPh sb="0" eb="2">
      <t>カイゴ</t>
    </rPh>
    <rPh sb="2" eb="3">
      <t>ブン</t>
    </rPh>
    <phoneticPr fontId="4"/>
  </si>
  <si>
    <t>軽減額</t>
    <rPh sb="0" eb="3">
      <t>ケイゲンガク</t>
    </rPh>
    <phoneticPr fontId="4"/>
  </si>
  <si>
    <t>区分（割）</t>
    <rPh sb="0" eb="2">
      <t>クブン</t>
    </rPh>
    <rPh sb="3" eb="4">
      <t>ワ</t>
    </rPh>
    <phoneticPr fontId="4"/>
  </si>
  <si>
    <t>軽減均等割額</t>
    <rPh sb="0" eb="6">
      <t>ケイゲンキントウワリガク</t>
    </rPh>
    <phoneticPr fontId="4"/>
  </si>
  <si>
    <t>子ども軽減額</t>
    <rPh sb="0" eb="1">
      <t>コ</t>
    </rPh>
    <rPh sb="3" eb="6">
      <t>ケイゲンガク</t>
    </rPh>
    <phoneticPr fontId="4"/>
  </si>
  <si>
    <t>軽減平等割額</t>
    <rPh sb="0" eb="1">
      <t>ケイ</t>
    </rPh>
    <rPh sb="2" eb="4">
      <t>ビョウドウ</t>
    </rPh>
    <rPh sb="4" eb="5">
      <t>ワリ</t>
    </rPh>
    <rPh sb="5" eb="6">
      <t>ガク</t>
    </rPh>
    <phoneticPr fontId="4"/>
  </si>
  <si>
    <t>医療</t>
    <rPh sb="0" eb="2">
      <t>イリョウ</t>
    </rPh>
    <phoneticPr fontId="4"/>
  </si>
  <si>
    <t>料率
基本料金</t>
    <rPh sb="0" eb="2">
      <t>リョウリツ</t>
    </rPh>
    <rPh sb="3" eb="7">
      <t>キホンリョウキン</t>
    </rPh>
    <phoneticPr fontId="4"/>
  </si>
  <si>
    <t>所得割率</t>
    <rPh sb="0" eb="3">
      <t>ショトクワリ</t>
    </rPh>
    <rPh sb="3" eb="4">
      <t>リツ</t>
    </rPh>
    <phoneticPr fontId="4"/>
  </si>
  <si>
    <t>均等割額</t>
    <rPh sb="0" eb="3">
      <t>キントウワ</t>
    </rPh>
    <rPh sb="3" eb="4">
      <t>ガク</t>
    </rPh>
    <phoneticPr fontId="4"/>
  </si>
  <si>
    <t>平等割額</t>
    <rPh sb="0" eb="4">
      <t>ビョウドウワリガク</t>
    </rPh>
    <phoneticPr fontId="4"/>
  </si>
  <si>
    <t>保険料限度額</t>
    <rPh sb="0" eb="6">
      <t>ホケンリョウゲンドガク</t>
    </rPh>
    <phoneticPr fontId="4"/>
  </si>
  <si>
    <t>支援金</t>
    <rPh sb="0" eb="3">
      <t>シエンキン</t>
    </rPh>
    <phoneticPr fontId="4"/>
  </si>
  <si>
    <t>介護</t>
    <rPh sb="0" eb="2">
      <t>カイゴ</t>
    </rPh>
    <phoneticPr fontId="4"/>
  </si>
  <si>
    <t>・倒産・解雇などにより離職された方（非自発的失業者）に対する軽減措置に該当する場合</t>
    <rPh sb="1" eb="3">
      <t>トウサン</t>
    </rPh>
    <rPh sb="4" eb="6">
      <t>カイコ</t>
    </rPh>
    <rPh sb="11" eb="13">
      <t>リショク</t>
    </rPh>
    <rPh sb="16" eb="17">
      <t>カタ</t>
    </rPh>
    <rPh sb="18" eb="22">
      <t>ヒジハツテキ</t>
    </rPh>
    <rPh sb="22" eb="25">
      <t>シツギョウシャ</t>
    </rPh>
    <rPh sb="27" eb="28">
      <t>タイ</t>
    </rPh>
    <rPh sb="30" eb="34">
      <t>ケイゲンソチ</t>
    </rPh>
    <rPh sb="35" eb="37">
      <t>ガイトウ</t>
    </rPh>
    <rPh sb="39" eb="41">
      <t>バアイ</t>
    </rPh>
    <phoneticPr fontId="4"/>
  </si>
  <si>
    <t>平等割と均等割は、７割軽減を適用しています。</t>
  </si>
  <si>
    <t>平等割と均等割は、５割軽減を適用しています。</t>
    <phoneticPr fontId="3"/>
  </si>
  <si>
    <t>平等割と均等割は、２割軽減を適用しています。</t>
    <phoneticPr fontId="3"/>
  </si>
  <si>
    <t>後期高齢者支援金分</t>
    <rPh sb="0" eb="5">
      <t>コウキコウレイシャ</t>
    </rPh>
    <rPh sb="5" eb="7">
      <t>シエン</t>
    </rPh>
    <rPh sb="7" eb="8">
      <t>キン</t>
    </rPh>
    <rPh sb="8" eb="9">
      <t>ブン</t>
    </rPh>
    <phoneticPr fontId="4"/>
  </si>
  <si>
    <t>介護分
（40歳～64歳までの人）</t>
    <rPh sb="0" eb="2">
      <t>カイゴ</t>
    </rPh>
    <rPh sb="2" eb="3">
      <t>ブン</t>
    </rPh>
    <rPh sb="7" eb="8">
      <t>サイ</t>
    </rPh>
    <rPh sb="11" eb="12">
      <t>サイ</t>
    </rPh>
    <rPh sb="15" eb="16">
      <t>ヒト</t>
    </rPh>
    <phoneticPr fontId="4"/>
  </si>
  <si>
    <t>所得割額</t>
    <rPh sb="0" eb="3">
      <t>ショトクワリ</t>
    </rPh>
    <rPh sb="3" eb="4">
      <t>ガク</t>
    </rPh>
    <phoneticPr fontId="4"/>
  </si>
  <si>
    <t>平等割額</t>
    <rPh sb="0" eb="3">
      <t>ビョウドウワリ</t>
    </rPh>
    <rPh sb="3" eb="4">
      <t>ガク</t>
    </rPh>
    <phoneticPr fontId="4"/>
  </si>
  <si>
    <t>・年度途中に加入者が後期高齢者医療制度に移行し、残った国民健康保険の加入者が１人となる場合</t>
    <rPh sb="1" eb="5">
      <t>ネンドトチュウ</t>
    </rPh>
    <rPh sb="6" eb="9">
      <t>カニュウシャ</t>
    </rPh>
    <rPh sb="10" eb="15">
      <t>コウキコウレイシャ</t>
    </rPh>
    <rPh sb="15" eb="19">
      <t>イリョウセイド</t>
    </rPh>
    <rPh sb="20" eb="22">
      <t>イコウ</t>
    </rPh>
    <rPh sb="24" eb="25">
      <t>ノコ</t>
    </rPh>
    <rPh sb="27" eb="33">
      <t>コクミンケンコウホケン</t>
    </rPh>
    <rPh sb="34" eb="37">
      <t>カニュウシャ</t>
    </rPh>
    <rPh sb="39" eb="40">
      <t>ニン</t>
    </rPh>
    <rPh sb="43" eb="45">
      <t>バアイ</t>
    </rPh>
    <phoneticPr fontId="4"/>
  </si>
  <si>
    <t>令和7年度　国民健康保険料の試算</t>
    <phoneticPr fontId="4"/>
  </si>
  <si>
    <t>　　　【 世帯状況の入力欄 】  　世帯主及び加入者の加入状況、年齢、収入又は所得金額（令和６年中）を入力</t>
    <rPh sb="5" eb="7">
      <t>セタイ</t>
    </rPh>
    <rPh sb="7" eb="9">
      <t>ジョウキョウ</t>
    </rPh>
    <rPh sb="10" eb="12">
      <t>ニュウリョク</t>
    </rPh>
    <rPh sb="12" eb="13">
      <t>ラン</t>
    </rPh>
    <rPh sb="18" eb="21">
      <t>セタイヌシ</t>
    </rPh>
    <rPh sb="21" eb="22">
      <t>オヨ</t>
    </rPh>
    <rPh sb="23" eb="26">
      <t>カニュウシャ</t>
    </rPh>
    <rPh sb="27" eb="29">
      <t>カニュウ</t>
    </rPh>
    <rPh sb="29" eb="31">
      <t>ジョウキョウ</t>
    </rPh>
    <rPh sb="32" eb="34">
      <t>ネンレイ</t>
    </rPh>
    <rPh sb="35" eb="37">
      <t>シュウニュウ</t>
    </rPh>
    <rPh sb="37" eb="38">
      <t>マタ</t>
    </rPh>
    <rPh sb="39" eb="41">
      <t>ショトク</t>
    </rPh>
    <rPh sb="41" eb="43">
      <t>キンガク</t>
    </rPh>
    <rPh sb="44" eb="46">
      <t>レイワ</t>
    </rPh>
    <rPh sb="47" eb="49">
      <t>ネンチュウ</t>
    </rPh>
    <rPh sb="51" eb="53">
      <t>ニュウリョク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</si>
</sst>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_);[Red]\(#,##0\)"/>
    <numFmt numFmtId="177" formatCode="#,##0&quot;円&quot;"/>
    <numFmt numFmtId="178" formatCode="#,##0_ "/>
    <numFmt numFmtId="179" formatCode="0.0000_);[Red]\(0.0000\)"/>
  </numFmts>
  <fonts count="5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26"/>
      <color rgb="FF000000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26"/>
      <name val="ＭＳ Ｐゴシック"/>
      <family val="3"/>
      <charset val="128"/>
    </font>
    <font>
      <sz val="6"/>
      <name val="ＭＳ Ｐゴシック"/>
      <family val="3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3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26"/>
      <color rgb="FF222222"/>
      <name val="ＭＳ Ｐゴシック"/>
      <family val="3"/>
      <charset val="128"/>
    </font>
    <font>
      <sz val="24"/>
      <color rgb="FF222222"/>
      <name val="ＭＳ Ｐゴシック"/>
      <family val="3"/>
      <charset val="128"/>
    </font>
    <font>
      <sz val="22"/>
      <color rgb="FF22222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36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40"/>
      <color rgb="FFFF0000"/>
      <name val="ＭＳ Ｐゴシック"/>
      <family val="3"/>
      <charset val="128"/>
    </font>
    <font>
      <b/>
      <sz val="40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36"/>
      <color theme="1"/>
      <name val="ＭＳ Ｐゴシック"/>
      <family val="3"/>
      <charset val="128"/>
    </font>
    <font>
      <b/>
      <sz val="2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22"/>
      <name val="游ゴシック"/>
      <family val="2"/>
      <scheme val="minor"/>
    </font>
    <font>
      <b/>
      <sz val="12"/>
      <color rgb="FFFF0000"/>
      <name val="HG丸ｺﾞｼｯｸM-PRO"/>
      <family val="3"/>
      <charset val="128"/>
    </font>
    <font>
      <sz val="2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28"/>
      <name val="ＭＳ Ｐゴシック"/>
      <family val="3"/>
      <charset val="128"/>
    </font>
    <font>
      <b/>
      <sz val="28"/>
      <color rgb="FFFF0000"/>
      <name val="HG丸ｺﾞｼｯｸM-PRO"/>
      <family val="3"/>
      <charset val="128"/>
    </font>
    <font>
      <b/>
      <sz val="6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20"/>
      <name val="游ゴシック"/>
      <family val="3"/>
      <charset val="128"/>
      <scheme val="minor"/>
    </font>
    <font>
      <sz val="14"/>
      <color rgb="FF7030A0"/>
      <name val="游ゴシック"/>
      <family val="2"/>
      <scheme val="minor"/>
    </font>
    <font>
      <sz val="14"/>
      <color rgb="FF0070C0"/>
      <name val="游ゴシック"/>
      <family val="2"/>
      <scheme val="minor"/>
    </font>
    <font>
      <sz val="14"/>
      <color theme="5"/>
      <name val="游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8"/>
      </right>
      <top style="thin">
        <color indexed="64"/>
      </top>
      <bottom style="thick">
        <color theme="8"/>
      </bottom>
      <diagonal/>
    </border>
    <border>
      <left style="medium">
        <color theme="8"/>
      </left>
      <right style="thin">
        <color indexed="64"/>
      </right>
      <top style="thin">
        <color indexed="64"/>
      </top>
      <bottom style="thick">
        <color theme="8"/>
      </bottom>
      <diagonal/>
    </border>
    <border>
      <left style="thin">
        <color indexed="64"/>
      </left>
      <right style="medium">
        <color theme="8"/>
      </right>
      <top style="thin">
        <color indexed="64"/>
      </top>
      <bottom style="medium">
        <color theme="8"/>
      </bottom>
      <diagonal/>
    </border>
    <border>
      <left style="medium">
        <color theme="8"/>
      </left>
      <right style="thin">
        <color indexed="64"/>
      </right>
      <top style="thin">
        <color indexed="64"/>
      </top>
      <bottom style="medium">
        <color theme="8"/>
      </bottom>
      <diagonal/>
    </border>
    <border>
      <left style="thin">
        <color indexed="64"/>
      </left>
      <right style="medium">
        <color theme="8"/>
      </right>
      <top style="thick">
        <color theme="8"/>
      </top>
      <bottom style="thick">
        <color theme="8"/>
      </bottom>
      <diagonal/>
    </border>
    <border>
      <left style="medium">
        <color theme="8"/>
      </left>
      <right style="thin">
        <color indexed="64"/>
      </right>
      <top style="thick">
        <color theme="8"/>
      </top>
      <bottom style="thick">
        <color theme="8"/>
      </bottom>
      <diagonal/>
    </border>
    <border>
      <left style="thin">
        <color indexed="64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theme="8"/>
      </left>
      <right style="thin">
        <color indexed="64"/>
      </right>
      <top style="medium">
        <color theme="8"/>
      </top>
      <bottom style="medium">
        <color theme="8"/>
      </bottom>
      <diagonal/>
    </border>
    <border>
      <left style="thin">
        <color indexed="64"/>
      </left>
      <right style="medium">
        <color theme="8"/>
      </right>
      <top style="thick">
        <color theme="8"/>
      </top>
      <bottom style="thin">
        <color indexed="64"/>
      </bottom>
      <diagonal/>
    </border>
    <border>
      <left style="medium">
        <color theme="8"/>
      </left>
      <right style="thin">
        <color indexed="64"/>
      </right>
      <top style="thick">
        <color theme="8"/>
      </top>
      <bottom style="thin">
        <color indexed="64"/>
      </bottom>
      <diagonal/>
    </border>
    <border>
      <left style="thin">
        <color indexed="64"/>
      </left>
      <right style="medium">
        <color theme="8"/>
      </right>
      <top style="medium">
        <color theme="8"/>
      </top>
      <bottom style="thin">
        <color indexed="64"/>
      </bottom>
      <diagonal/>
    </border>
    <border>
      <left style="medium">
        <color theme="8"/>
      </left>
      <right style="thin">
        <color indexed="64"/>
      </right>
      <top style="medium">
        <color theme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 diagonalUp="1">
      <left style="medium">
        <color indexed="64"/>
      </left>
      <right style="thick">
        <color indexed="64"/>
      </right>
      <top style="medium">
        <color indexed="64"/>
      </top>
      <bottom style="thick">
        <color auto="1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43" fillId="0" borderId="0"/>
    <xf numFmtId="6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3" applyFont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/>
    <xf numFmtId="0" fontId="15" fillId="0" borderId="0" xfId="0" applyFont="1" applyFill="1" applyAlignment="1"/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 indent="1"/>
    </xf>
    <xf numFmtId="0" fontId="18" fillId="0" borderId="0" xfId="0" applyFont="1" applyFill="1" applyAlignment="1">
      <alignment horizontal="left" vertical="center" indent="1"/>
    </xf>
    <xf numFmtId="0" fontId="19" fillId="0" borderId="0" xfId="0" applyFont="1" applyFill="1" applyAlignment="1">
      <alignment horizontal="left" vertical="center" indent="1"/>
    </xf>
    <xf numFmtId="0" fontId="20" fillId="0" borderId="0" xfId="3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2" borderId="4" xfId="0" applyFont="1" applyFill="1" applyBorder="1" applyAlignment="1" applyProtection="1">
      <alignment horizontal="center" vertical="center"/>
      <protection locked="0"/>
    </xf>
    <xf numFmtId="0" fontId="21" fillId="2" borderId="5" xfId="0" applyFont="1" applyFill="1" applyBorder="1" applyAlignment="1" applyProtection="1">
      <alignment horizontal="center" vertical="center"/>
      <protection locked="0"/>
    </xf>
    <xf numFmtId="10" fontId="21" fillId="0" borderId="0" xfId="0" applyNumberFormat="1" applyFont="1" applyFill="1" applyAlignment="1">
      <alignment horizontal="center" vertical="center"/>
    </xf>
    <xf numFmtId="0" fontId="21" fillId="2" borderId="7" xfId="0" applyFont="1" applyFill="1" applyBorder="1" applyAlignment="1" applyProtection="1">
      <alignment horizontal="center" vertical="center"/>
      <protection locked="0"/>
    </xf>
    <xf numFmtId="0" fontId="21" fillId="2" borderId="8" xfId="0" applyFont="1" applyFill="1" applyBorder="1" applyAlignment="1" applyProtection="1">
      <alignment horizontal="center" vertical="center"/>
      <protection locked="0"/>
    </xf>
    <xf numFmtId="3" fontId="21" fillId="0" borderId="0" xfId="0" applyNumberFormat="1" applyFont="1" applyFill="1" applyAlignment="1">
      <alignment horizontal="center" vertical="center"/>
    </xf>
    <xf numFmtId="0" fontId="21" fillId="2" borderId="11" xfId="0" applyFont="1" applyFill="1" applyBorder="1" applyAlignment="1" applyProtection="1">
      <alignment horizontal="center" vertical="center"/>
      <protection locked="0"/>
    </xf>
    <xf numFmtId="0" fontId="21" fillId="2" borderId="1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177" fontId="27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distributed" vertical="center" indent="2"/>
    </xf>
    <xf numFmtId="177" fontId="31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4" fillId="4" borderId="1" xfId="0" applyFont="1" applyFill="1" applyBorder="1" applyAlignment="1">
      <alignment horizontal="center"/>
    </xf>
    <xf numFmtId="0" fontId="0" fillId="0" borderId="0" xfId="0" applyAlignment="1"/>
    <xf numFmtId="0" fontId="35" fillId="4" borderId="4" xfId="0" applyNumberFormat="1" applyFont="1" applyFill="1" applyBorder="1" applyAlignment="1">
      <alignment horizontal="center" vertical="center"/>
    </xf>
    <xf numFmtId="0" fontId="35" fillId="4" borderId="5" xfId="0" applyNumberFormat="1" applyFont="1" applyFill="1" applyBorder="1" applyAlignment="1">
      <alignment horizontal="center" vertical="center"/>
    </xf>
    <xf numFmtId="3" fontId="35" fillId="4" borderId="5" xfId="0" applyNumberFormat="1" applyFont="1" applyFill="1" applyBorder="1" applyAlignment="1">
      <alignment horizontal="center" vertical="center"/>
    </xf>
    <xf numFmtId="0" fontId="35" fillId="4" borderId="6" xfId="0" applyNumberFormat="1" applyFont="1" applyFill="1" applyBorder="1" applyAlignment="1">
      <alignment horizontal="center" vertical="center"/>
    </xf>
    <xf numFmtId="176" fontId="36" fillId="0" borderId="37" xfId="0" applyNumberFormat="1" applyFont="1" applyBorder="1" applyAlignment="1">
      <alignment horizontal="right"/>
    </xf>
    <xf numFmtId="176" fontId="36" fillId="0" borderId="8" xfId="0" applyNumberFormat="1" applyFont="1" applyBorder="1" applyAlignment="1">
      <alignment horizontal="right"/>
    </xf>
    <xf numFmtId="176" fontId="36" fillId="0" borderId="38" xfId="0" applyNumberFormat="1" applyFont="1" applyBorder="1" applyAlignment="1">
      <alignment horizontal="right"/>
    </xf>
    <xf numFmtId="176" fontId="34" fillId="2" borderId="3" xfId="0" applyNumberFormat="1" applyFont="1" applyFill="1" applyBorder="1" applyAlignment="1"/>
    <xf numFmtId="176" fontId="34" fillId="2" borderId="1" xfId="0" applyNumberFormat="1" applyFont="1" applyFill="1" applyBorder="1" applyAlignment="1"/>
    <xf numFmtId="176" fontId="36" fillId="0" borderId="12" xfId="0" applyNumberFormat="1" applyFont="1" applyBorder="1" applyAlignment="1">
      <alignment horizontal="right"/>
    </xf>
    <xf numFmtId="176" fontId="36" fillId="0" borderId="14" xfId="0" applyNumberFormat="1" applyFont="1" applyBorder="1" applyAlignment="1">
      <alignment horizontal="right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right"/>
    </xf>
    <xf numFmtId="0" fontId="37" fillId="0" borderId="0" xfId="0" applyFont="1" applyAlignment="1"/>
    <xf numFmtId="0" fontId="34" fillId="4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/>
    </xf>
    <xf numFmtId="0" fontId="35" fillId="4" borderId="44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3" fontId="35" fillId="4" borderId="9" xfId="0" applyNumberFormat="1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178" fontId="36" fillId="0" borderId="46" xfId="0" applyNumberFormat="1" applyFont="1" applyBorder="1" applyAlignment="1">
      <alignment horizontal="right"/>
    </xf>
    <xf numFmtId="178" fontId="36" fillId="0" borderId="8" xfId="0" applyNumberFormat="1" applyFont="1" applyBorder="1" applyAlignment="1">
      <alignment horizontal="right"/>
    </xf>
    <xf numFmtId="178" fontId="36" fillId="0" borderId="38" xfId="0" applyNumberFormat="1" applyFont="1" applyBorder="1" applyAlignment="1">
      <alignment horizontal="right"/>
    </xf>
    <xf numFmtId="178" fontId="36" fillId="0" borderId="37" xfId="0" applyNumberFormat="1" applyFont="1" applyBorder="1" applyAlignment="1">
      <alignment horizontal="right"/>
    </xf>
    <xf numFmtId="178" fontId="34" fillId="2" borderId="1" xfId="0" applyNumberFormat="1" applyFont="1" applyFill="1" applyBorder="1" applyAlignment="1"/>
    <xf numFmtId="178" fontId="34" fillId="2" borderId="1" xfId="0" applyNumberFormat="1" applyFont="1" applyFill="1" applyBorder="1" applyAlignment="1">
      <alignment horizontal="center"/>
    </xf>
    <xf numFmtId="176" fontId="34" fillId="2" borderId="1" xfId="0" applyNumberFormat="1" applyFont="1" applyFill="1" applyBorder="1" applyAlignment="1">
      <alignment horizontal="right" vertical="center"/>
    </xf>
    <xf numFmtId="178" fontId="36" fillId="0" borderId="47" xfId="0" applyNumberFormat="1" applyFont="1" applyBorder="1" applyAlignment="1">
      <alignment horizontal="right"/>
    </xf>
    <xf numFmtId="178" fontId="36" fillId="0" borderId="12" xfId="0" applyNumberFormat="1" applyFont="1" applyBorder="1" applyAlignment="1">
      <alignment horizontal="right"/>
    </xf>
    <xf numFmtId="178" fontId="36" fillId="0" borderId="14" xfId="0" applyNumberFormat="1" applyFont="1" applyBorder="1" applyAlignment="1">
      <alignment horizontal="right"/>
    </xf>
    <xf numFmtId="178" fontId="36" fillId="0" borderId="39" xfId="0" applyNumberFormat="1" applyFont="1" applyBorder="1" applyAlignment="1">
      <alignment horizontal="right"/>
    </xf>
    <xf numFmtId="0" fontId="3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/>
    <xf numFmtId="0" fontId="34" fillId="4" borderId="36" xfId="0" applyFont="1" applyFill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176" fontId="38" fillId="0" borderId="50" xfId="0" applyNumberFormat="1" applyFont="1" applyBorder="1" applyAlignment="1">
      <alignment horizontal="right" vertical="center"/>
    </xf>
    <xf numFmtId="176" fontId="38" fillId="0" borderId="7" xfId="0" applyNumberFormat="1" applyFont="1" applyBorder="1" applyAlignment="1">
      <alignment horizontal="right" vertical="center"/>
    </xf>
    <xf numFmtId="176" fontId="38" fillId="0" borderId="9" xfId="0" applyNumberFormat="1" applyFont="1" applyBorder="1" applyAlignment="1">
      <alignment horizontal="right" vertical="center"/>
    </xf>
    <xf numFmtId="176" fontId="38" fillId="0" borderId="10" xfId="0" applyNumberFormat="1" applyFont="1" applyBorder="1" applyAlignment="1">
      <alignment horizontal="right" vertical="center"/>
    </xf>
    <xf numFmtId="176" fontId="38" fillId="0" borderId="11" xfId="0" applyNumberFormat="1" applyFont="1" applyBorder="1" applyAlignment="1">
      <alignment horizontal="right" vertical="center"/>
    </xf>
    <xf numFmtId="176" fontId="38" fillId="0" borderId="13" xfId="0" applyNumberFormat="1" applyFont="1" applyBorder="1" applyAlignment="1">
      <alignment horizontal="right" vertical="center"/>
    </xf>
    <xf numFmtId="176" fontId="38" fillId="0" borderId="49" xfId="0" applyNumberFormat="1" applyFont="1" applyBorder="1" applyAlignment="1">
      <alignment horizontal="right" vertical="center"/>
    </xf>
    <xf numFmtId="176" fontId="38" fillId="0" borderId="0" xfId="0" applyNumberFormat="1" applyFont="1" applyAlignment="1">
      <alignment horizontal="right" vertical="center"/>
    </xf>
    <xf numFmtId="0" fontId="39" fillId="0" borderId="0" xfId="0" applyFont="1" applyAlignment="1"/>
    <xf numFmtId="0" fontId="34" fillId="4" borderId="34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176" fontId="21" fillId="2" borderId="54" xfId="0" applyNumberFormat="1" applyFont="1" applyFill="1" applyBorder="1" applyAlignment="1" applyProtection="1">
      <alignment horizontal="right" vertical="center"/>
      <protection locked="0"/>
    </xf>
    <xf numFmtId="176" fontId="21" fillId="2" borderId="55" xfId="0" applyNumberFormat="1" applyFont="1" applyFill="1" applyBorder="1" applyAlignment="1" applyProtection="1">
      <alignment horizontal="right" vertical="center"/>
      <protection locked="0"/>
    </xf>
    <xf numFmtId="176" fontId="21" fillId="2" borderId="56" xfId="0" applyNumberFormat="1" applyFont="1" applyFill="1" applyBorder="1" applyAlignment="1" applyProtection="1">
      <alignment horizontal="right" vertical="center"/>
      <protection locked="0"/>
    </xf>
    <xf numFmtId="176" fontId="21" fillId="0" borderId="35" xfId="0" applyNumberFormat="1" applyFont="1" applyFill="1" applyBorder="1" applyAlignment="1">
      <alignment horizontal="right" vertical="center"/>
    </xf>
    <xf numFmtId="176" fontId="21" fillId="0" borderId="51" xfId="0" applyNumberFormat="1" applyFont="1" applyFill="1" applyBorder="1" applyAlignment="1">
      <alignment horizontal="right" vertical="center"/>
    </xf>
    <xf numFmtId="176" fontId="21" fillId="0" borderId="52" xfId="0" applyNumberFormat="1" applyFont="1" applyFill="1" applyBorder="1" applyAlignment="1">
      <alignment horizontal="right" vertical="center"/>
    </xf>
    <xf numFmtId="176" fontId="21" fillId="2" borderId="57" xfId="0" applyNumberFormat="1" applyFont="1" applyFill="1" applyBorder="1" applyAlignment="1" applyProtection="1">
      <alignment horizontal="right" vertical="center"/>
      <protection locked="0"/>
    </xf>
    <xf numFmtId="176" fontId="21" fillId="2" borderId="58" xfId="0" applyNumberFormat="1" applyFont="1" applyFill="1" applyBorder="1" applyAlignment="1" applyProtection="1">
      <alignment horizontal="right" vertical="center"/>
      <protection locked="0"/>
    </xf>
    <xf numFmtId="176" fontId="21" fillId="2" borderId="59" xfId="0" applyNumberFormat="1" applyFont="1" applyFill="1" applyBorder="1" applyAlignment="1" applyProtection="1">
      <alignment horizontal="right" vertical="center"/>
      <protection locked="0"/>
    </xf>
    <xf numFmtId="176" fontId="21" fillId="0" borderId="36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center" vertical="center" wrapText="1"/>
    </xf>
    <xf numFmtId="176" fontId="21" fillId="0" borderId="60" xfId="0" applyNumberFormat="1" applyFont="1" applyFill="1" applyBorder="1" applyAlignment="1">
      <alignment horizontal="right" vertical="center"/>
    </xf>
    <xf numFmtId="176" fontId="21" fillId="0" borderId="50" xfId="0" applyNumberFormat="1" applyFont="1" applyFill="1" applyBorder="1" applyAlignment="1">
      <alignment horizontal="right" vertical="center"/>
    </xf>
    <xf numFmtId="176" fontId="36" fillId="0" borderId="39" xfId="0" applyNumberFormat="1" applyFont="1" applyBorder="1" applyAlignment="1">
      <alignment horizontal="right"/>
    </xf>
    <xf numFmtId="176" fontId="38" fillId="0" borderId="36" xfId="0" applyNumberFormat="1" applyFont="1" applyBorder="1" applyAlignment="1">
      <alignment horizontal="right" vertical="center"/>
    </xf>
    <xf numFmtId="176" fontId="44" fillId="0" borderId="50" xfId="0" applyNumberFormat="1" applyFont="1" applyBorder="1" applyAlignment="1">
      <alignment horizontal="right" vertical="center"/>
    </xf>
    <xf numFmtId="176" fontId="44" fillId="0" borderId="7" xfId="0" applyNumberFormat="1" applyFont="1" applyBorder="1" applyAlignment="1">
      <alignment horizontal="right" vertical="center"/>
    </xf>
    <xf numFmtId="176" fontId="44" fillId="0" borderId="9" xfId="0" applyNumberFormat="1" applyFont="1" applyBorder="1" applyAlignment="1">
      <alignment horizontal="right" vertical="center"/>
    </xf>
    <xf numFmtId="176" fontId="44" fillId="0" borderId="10" xfId="0" applyNumberFormat="1" applyFont="1" applyBorder="1" applyAlignment="1">
      <alignment horizontal="right" vertical="center"/>
    </xf>
    <xf numFmtId="176" fontId="44" fillId="0" borderId="36" xfId="0" applyNumberFormat="1" applyFont="1" applyBorder="1" applyAlignment="1">
      <alignment horizontal="right" vertical="center"/>
    </xf>
    <xf numFmtId="176" fontId="44" fillId="0" borderId="11" xfId="0" applyNumberFormat="1" applyFont="1" applyBorder="1" applyAlignment="1">
      <alignment horizontal="right" vertical="center"/>
    </xf>
    <xf numFmtId="176" fontId="44" fillId="0" borderId="13" xfId="0" applyNumberFormat="1" applyFont="1" applyBorder="1" applyAlignment="1">
      <alignment horizontal="right" vertical="center"/>
    </xf>
    <xf numFmtId="176" fontId="44" fillId="0" borderId="49" xfId="0" applyNumberFormat="1" applyFont="1" applyBorder="1" applyAlignment="1">
      <alignment horizontal="right" vertical="center"/>
    </xf>
    <xf numFmtId="0" fontId="44" fillId="0" borderId="43" xfId="0" applyFont="1" applyBorder="1" applyAlignment="1"/>
    <xf numFmtId="0" fontId="44" fillId="0" borderId="41" xfId="0" applyFont="1" applyBorder="1" applyAlignment="1"/>
    <xf numFmtId="0" fontId="44" fillId="0" borderId="42" xfId="0" applyFont="1" applyBorder="1" applyAlignment="1"/>
    <xf numFmtId="0" fontId="45" fillId="0" borderId="0" xfId="0" applyFont="1" applyBorder="1" applyAlignment="1">
      <alignment vertical="center" wrapText="1"/>
    </xf>
    <xf numFmtId="0" fontId="45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/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47" fillId="0" borderId="0" xfId="0" applyFont="1" applyBorder="1" applyAlignment="1">
      <alignment vertical="center" wrapText="1"/>
    </xf>
    <xf numFmtId="0" fontId="46" fillId="0" borderId="0" xfId="0" applyFont="1" applyFill="1" applyAlignment="1"/>
    <xf numFmtId="0" fontId="48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176" fontId="21" fillId="0" borderId="0" xfId="0" applyNumberFormat="1" applyFont="1" applyFill="1" applyBorder="1" applyAlignment="1" applyProtection="1">
      <alignment horizontal="right" vertical="center"/>
    </xf>
    <xf numFmtId="0" fontId="47" fillId="5" borderId="0" xfId="0" applyFont="1" applyFill="1" applyBorder="1" applyAlignment="1">
      <alignment vertical="center"/>
    </xf>
    <xf numFmtId="0" fontId="51" fillId="5" borderId="0" xfId="0" applyFont="1" applyFill="1" applyAlignment="1">
      <alignment vertical="center"/>
    </xf>
    <xf numFmtId="0" fontId="38" fillId="6" borderId="13" xfId="0" applyFont="1" applyFill="1" applyBorder="1" applyAlignment="1">
      <alignment horizontal="center" vertical="center"/>
    </xf>
    <xf numFmtId="0" fontId="38" fillId="6" borderId="49" xfId="0" applyFont="1" applyFill="1" applyBorder="1" applyAlignment="1">
      <alignment horizontal="center" vertical="center"/>
    </xf>
    <xf numFmtId="0" fontId="0" fillId="0" borderId="0" xfId="0" applyBorder="1" applyAlignment="1"/>
    <xf numFmtId="0" fontId="30" fillId="0" borderId="29" xfId="0" applyFont="1" applyFill="1" applyBorder="1" applyAlignment="1">
      <alignment horizontal="distributed" vertical="center" indent="2"/>
    </xf>
    <xf numFmtId="0" fontId="30" fillId="0" borderId="30" xfId="0" applyFont="1" applyFill="1" applyBorder="1" applyAlignment="1">
      <alignment horizontal="distributed" vertical="center" indent="2"/>
    </xf>
    <xf numFmtId="0" fontId="30" fillId="0" borderId="31" xfId="0" applyFont="1" applyFill="1" applyBorder="1" applyAlignment="1">
      <alignment horizontal="distributed" vertical="center" indent="2"/>
    </xf>
    <xf numFmtId="0" fontId="30" fillId="0" borderId="0" xfId="0" applyFont="1" applyFill="1" applyBorder="1" applyAlignment="1">
      <alignment horizontal="distributed" vertical="center" indent="2"/>
    </xf>
    <xf numFmtId="0" fontId="30" fillId="0" borderId="32" xfId="0" applyFont="1" applyFill="1" applyBorder="1" applyAlignment="1">
      <alignment horizontal="distributed" vertical="center" indent="2"/>
    </xf>
    <xf numFmtId="0" fontId="30" fillId="0" borderId="33" xfId="0" applyFont="1" applyFill="1" applyBorder="1" applyAlignment="1">
      <alignment horizontal="distributed" vertical="center" indent="2"/>
    </xf>
    <xf numFmtId="177" fontId="31" fillId="3" borderId="68" xfId="0" applyNumberFormat="1" applyFont="1" applyFill="1" applyBorder="1" applyAlignment="1">
      <alignment horizontal="right" vertical="center"/>
    </xf>
    <xf numFmtId="177" fontId="31" fillId="3" borderId="69" xfId="0" applyNumberFormat="1" applyFont="1" applyFill="1" applyBorder="1" applyAlignment="1">
      <alignment horizontal="right" vertical="center"/>
    </xf>
    <xf numFmtId="177" fontId="31" fillId="3" borderId="70" xfId="0" applyNumberFormat="1" applyFont="1" applyFill="1" applyBorder="1" applyAlignment="1">
      <alignment horizontal="right" vertical="center"/>
    </xf>
    <xf numFmtId="177" fontId="31" fillId="3" borderId="71" xfId="0" applyNumberFormat="1" applyFont="1" applyFill="1" applyBorder="1" applyAlignment="1">
      <alignment horizontal="right" vertical="center"/>
    </xf>
    <xf numFmtId="177" fontId="31" fillId="3" borderId="0" xfId="0" applyNumberFormat="1" applyFont="1" applyFill="1" applyBorder="1" applyAlignment="1">
      <alignment horizontal="right" vertical="center"/>
    </xf>
    <xf numFmtId="177" fontId="31" fillId="3" borderId="72" xfId="0" applyNumberFormat="1" applyFont="1" applyFill="1" applyBorder="1" applyAlignment="1">
      <alignment horizontal="right" vertical="center"/>
    </xf>
    <xf numFmtId="177" fontId="31" fillId="3" borderId="73" xfId="0" applyNumberFormat="1" applyFont="1" applyFill="1" applyBorder="1" applyAlignment="1">
      <alignment horizontal="right" vertical="center"/>
    </xf>
    <xf numFmtId="177" fontId="31" fillId="3" borderId="74" xfId="0" applyNumberFormat="1" applyFont="1" applyFill="1" applyBorder="1" applyAlignment="1">
      <alignment horizontal="right" vertical="center"/>
    </xf>
    <xf numFmtId="177" fontId="31" fillId="3" borderId="75" xfId="0" applyNumberFormat="1" applyFont="1" applyFill="1" applyBorder="1" applyAlignment="1">
      <alignment horizontal="right" vertical="center"/>
    </xf>
    <xf numFmtId="0" fontId="24" fillId="3" borderId="65" xfId="0" applyFont="1" applyFill="1" applyBorder="1" applyAlignment="1">
      <alignment horizontal="center" vertical="center"/>
    </xf>
    <xf numFmtId="0" fontId="24" fillId="3" borderId="66" xfId="0" applyFont="1" applyFill="1" applyBorder="1" applyAlignment="1">
      <alignment horizontal="center" vertical="center"/>
    </xf>
    <xf numFmtId="0" fontId="24" fillId="3" borderId="67" xfId="0" applyFont="1" applyFill="1" applyBorder="1" applyAlignment="1">
      <alignment horizontal="center" vertical="center"/>
    </xf>
    <xf numFmtId="177" fontId="26" fillId="3" borderId="65" xfId="0" applyNumberFormat="1" applyFont="1" applyFill="1" applyBorder="1" applyAlignment="1">
      <alignment horizontal="right" vertical="center"/>
    </xf>
    <xf numFmtId="177" fontId="26" fillId="3" borderId="66" xfId="0" applyNumberFormat="1" applyFont="1" applyFill="1" applyBorder="1" applyAlignment="1">
      <alignment horizontal="right" vertical="center"/>
    </xf>
    <xf numFmtId="177" fontId="26" fillId="3" borderId="67" xfId="0" applyNumberFormat="1" applyFont="1" applyFill="1" applyBorder="1" applyAlignment="1">
      <alignment horizontal="right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177" fontId="29" fillId="0" borderId="19" xfId="0" applyNumberFormat="1" applyFont="1" applyFill="1" applyBorder="1" applyAlignment="1">
      <alignment horizontal="right" vertical="center"/>
    </xf>
    <xf numFmtId="177" fontId="29" fillId="0" borderId="20" xfId="0" applyNumberFormat="1" applyFont="1" applyFill="1" applyBorder="1" applyAlignment="1">
      <alignment horizontal="right" vertical="center"/>
    </xf>
    <xf numFmtId="177" fontId="29" fillId="0" borderId="23" xfId="0" applyNumberFormat="1" applyFont="1" applyFill="1" applyBorder="1" applyAlignment="1">
      <alignment horizontal="right" vertical="center"/>
    </xf>
    <xf numFmtId="177" fontId="29" fillId="0" borderId="24" xfId="0" applyNumberFormat="1" applyFont="1" applyFill="1" applyBorder="1" applyAlignment="1">
      <alignment horizontal="right" vertical="center"/>
    </xf>
    <xf numFmtId="177" fontId="29" fillId="0" borderId="27" xfId="0" applyNumberFormat="1" applyFont="1" applyFill="1" applyBorder="1" applyAlignment="1">
      <alignment horizontal="right" vertical="center"/>
    </xf>
    <xf numFmtId="177" fontId="29" fillId="0" borderId="28" xfId="0" applyNumberFormat="1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7" fontId="26" fillId="0" borderId="29" xfId="0" applyNumberFormat="1" applyFont="1" applyFill="1" applyBorder="1" applyAlignment="1">
      <alignment horizontal="right" vertical="center"/>
    </xf>
    <xf numFmtId="177" fontId="26" fillId="0" borderId="61" xfId="0" applyNumberFormat="1" applyFont="1" applyFill="1" applyBorder="1" applyAlignment="1">
      <alignment horizontal="right" vertical="center"/>
    </xf>
    <xf numFmtId="177" fontId="26" fillId="0" borderId="31" xfId="0" applyNumberFormat="1" applyFont="1" applyFill="1" applyBorder="1" applyAlignment="1">
      <alignment horizontal="right" vertical="center"/>
    </xf>
    <xf numFmtId="177" fontId="26" fillId="0" borderId="62" xfId="0" applyNumberFormat="1" applyFont="1" applyFill="1" applyBorder="1" applyAlignment="1">
      <alignment horizontal="right" vertical="center"/>
    </xf>
    <xf numFmtId="177" fontId="26" fillId="0" borderId="32" xfId="0" applyNumberFormat="1" applyFont="1" applyFill="1" applyBorder="1" applyAlignment="1">
      <alignment horizontal="right" vertical="center"/>
    </xf>
    <xf numFmtId="177" fontId="26" fillId="0" borderId="63" xfId="0" applyNumberFormat="1" applyFont="1" applyFill="1" applyBorder="1" applyAlignment="1">
      <alignment horizontal="right" vertical="center"/>
    </xf>
    <xf numFmtId="177" fontId="26" fillId="0" borderId="1" xfId="0" applyNumberFormat="1" applyFont="1" applyFill="1" applyBorder="1" applyAlignment="1">
      <alignment horizontal="right" vertical="center"/>
    </xf>
    <xf numFmtId="177" fontId="26" fillId="0" borderId="16" xfId="0" applyNumberFormat="1" applyFont="1" applyFill="1" applyBorder="1" applyAlignment="1">
      <alignment horizontal="right" vertical="center"/>
    </xf>
    <xf numFmtId="0" fontId="24" fillId="0" borderId="64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177" fontId="26" fillId="0" borderId="35" xfId="0" applyNumberFormat="1" applyFont="1" applyFill="1" applyBorder="1" applyAlignment="1">
      <alignment horizontal="right" vertical="center"/>
    </xf>
    <xf numFmtId="177" fontId="26" fillId="0" borderId="77" xfId="0" applyNumberFormat="1" applyFont="1" applyFill="1" applyBorder="1" applyAlignment="1">
      <alignment horizontal="right" vertical="center"/>
    </xf>
    <xf numFmtId="177" fontId="26" fillId="0" borderId="78" xfId="0" applyNumberFormat="1" applyFont="1" applyFill="1" applyBorder="1" applyAlignment="1">
      <alignment horizontal="right" vertical="center"/>
    </xf>
    <xf numFmtId="177" fontId="26" fillId="0" borderId="79" xfId="0" applyNumberFormat="1" applyFont="1" applyFill="1" applyBorder="1" applyAlignment="1">
      <alignment horizontal="right" vertical="center"/>
    </xf>
    <xf numFmtId="177" fontId="26" fillId="0" borderId="76" xfId="0" applyNumberFormat="1" applyFont="1" applyFill="1" applyBorder="1" applyAlignment="1">
      <alignment horizontal="right" vertical="center"/>
    </xf>
    <xf numFmtId="0" fontId="50" fillId="0" borderId="0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 wrapText="1"/>
    </xf>
    <xf numFmtId="0" fontId="34" fillId="2" borderId="36" xfId="0" applyFont="1" applyFill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34" fillId="2" borderId="36" xfId="0" applyFont="1" applyFill="1" applyBorder="1" applyAlignment="1">
      <alignment horizontal="center" vertical="center"/>
    </xf>
    <xf numFmtId="0" fontId="34" fillId="4" borderId="40" xfId="0" applyFont="1" applyFill="1" applyBorder="1" applyAlignment="1">
      <alignment horizontal="center" vertical="center"/>
    </xf>
    <xf numFmtId="0" fontId="34" fillId="4" borderId="41" xfId="0" applyFont="1" applyFill="1" applyBorder="1" applyAlignment="1">
      <alignment horizontal="center" vertical="center"/>
    </xf>
    <xf numFmtId="0" fontId="34" fillId="4" borderId="42" xfId="0" applyFont="1" applyFill="1" applyBorder="1" applyAlignment="1">
      <alignment horizontal="center" vertical="center"/>
    </xf>
    <xf numFmtId="0" fontId="34" fillId="4" borderId="43" xfId="0" applyFont="1" applyFill="1" applyBorder="1" applyAlignment="1">
      <alignment horizontal="center" vertical="center"/>
    </xf>
    <xf numFmtId="0" fontId="39" fillId="0" borderId="0" xfId="0" applyFont="1" applyAlignment="1" applyProtection="1"/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40" fillId="0" borderId="0" xfId="0" applyFont="1" applyAlignment="1" applyProtection="1">
      <alignment vertical="center"/>
    </xf>
    <xf numFmtId="0" fontId="41" fillId="4" borderId="8" xfId="0" applyFont="1" applyFill="1" applyBorder="1" applyAlignment="1" applyProtection="1">
      <alignment horizontal="center" vertical="center"/>
    </xf>
    <xf numFmtId="0" fontId="41" fillId="4" borderId="8" xfId="0" applyFont="1" applyFill="1" applyBorder="1" applyAlignment="1" applyProtection="1">
      <alignment horizontal="center" vertical="center"/>
    </xf>
    <xf numFmtId="0" fontId="42" fillId="4" borderId="8" xfId="0" applyFont="1" applyFill="1" applyBorder="1" applyAlignment="1" applyProtection="1">
      <alignment horizontal="center" vertical="center"/>
    </xf>
    <xf numFmtId="38" fontId="52" fillId="2" borderId="8" xfId="2" applyNumberFormat="1" applyFont="1" applyFill="1" applyBorder="1" applyAlignment="1" applyProtection="1"/>
    <xf numFmtId="38" fontId="52" fillId="2" borderId="8" xfId="1" applyNumberFormat="1" applyFont="1" applyFill="1" applyBorder="1" applyAlignment="1" applyProtection="1"/>
    <xf numFmtId="0" fontId="41" fillId="4" borderId="8" xfId="0" applyFont="1" applyFill="1" applyBorder="1" applyAlignment="1" applyProtection="1">
      <alignment horizontal="center" vertical="center" wrapText="1"/>
    </xf>
    <xf numFmtId="179" fontId="52" fillId="2" borderId="8" xfId="0" applyNumberFormat="1" applyFont="1" applyFill="1" applyBorder="1" applyAlignment="1" applyProtection="1">
      <alignment vertical="center"/>
    </xf>
    <xf numFmtId="176" fontId="52" fillId="2" borderId="8" xfId="0" applyNumberFormat="1" applyFont="1" applyFill="1" applyBorder="1" applyAlignment="1" applyProtection="1">
      <alignment vertical="center"/>
    </xf>
    <xf numFmtId="176" fontId="52" fillId="4" borderId="53" xfId="0" applyNumberFormat="1" applyFont="1" applyFill="1" applyBorder="1" applyAlignment="1" applyProtection="1">
      <alignment vertical="center"/>
    </xf>
    <xf numFmtId="38" fontId="52" fillId="4" borderId="53" xfId="2" applyNumberFormat="1" applyFont="1" applyFill="1" applyBorder="1" applyAlignment="1" applyProtection="1"/>
    <xf numFmtId="38" fontId="40" fillId="0" borderId="0" xfId="2" applyNumberFormat="1" applyFont="1" applyAlignment="1" applyProtection="1"/>
    <xf numFmtId="0" fontId="41" fillId="0" borderId="0" xfId="0" applyFont="1" applyAlignment="1" applyProtection="1">
      <alignment horizontal="center" vertical="center"/>
    </xf>
    <xf numFmtId="38" fontId="39" fillId="0" borderId="0" xfId="2" applyNumberFormat="1" applyFont="1" applyAlignment="1" applyProtection="1"/>
    <xf numFmtId="38" fontId="54" fillId="0" borderId="0" xfId="0" applyNumberFormat="1" applyFont="1" applyBorder="1" applyAlignment="1" applyProtection="1"/>
    <xf numFmtId="38" fontId="55" fillId="0" borderId="0" xfId="0" applyNumberFormat="1" applyFont="1" applyBorder="1" applyAlignment="1" applyProtection="1"/>
    <xf numFmtId="38" fontId="53" fillId="0" borderId="0" xfId="0" applyNumberFormat="1" applyFont="1" applyBorder="1" applyAlignment="1" applyProtection="1"/>
    <xf numFmtId="0" fontId="0" fillId="0" borderId="0" xfId="0" applyBorder="1" applyAlignment="1" applyProtection="1"/>
  </cellXfs>
  <cellStyles count="7">
    <cellStyle name="桁区切り" xfId="1" builtinId="6"/>
    <cellStyle name="桁区切り 2" xfId="6"/>
    <cellStyle name="通貨" xfId="2" builtinId="7"/>
    <cellStyle name="通貨 2" xfId="5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85"/>
  <sheetViews>
    <sheetView showGridLines="0" tabSelected="1" view="pageBreakPreview" topLeftCell="A13" zoomScale="60" zoomScaleNormal="60" workbookViewId="0">
      <selection activeCell="C26" sqref="C26"/>
    </sheetView>
  </sheetViews>
  <sheetFormatPr defaultRowHeight="13.5" x14ac:dyDescent="0.4"/>
  <cols>
    <col min="1" max="4" width="15.625" style="2" customWidth="1"/>
    <col min="5" max="9" width="20.625" style="2" customWidth="1"/>
    <col min="10" max="10" width="22.625" style="2" bestFit="1" customWidth="1"/>
    <col min="11" max="12" width="20.625" style="2" customWidth="1"/>
    <col min="13" max="13" width="9" style="2"/>
    <col min="14" max="14" width="9.375" style="2" bestFit="1" customWidth="1"/>
    <col min="15" max="15" width="15.125" style="2" bestFit="1" customWidth="1"/>
    <col min="16" max="18" width="9.25" style="2" bestFit="1" customWidth="1"/>
    <col min="19" max="16384" width="9" style="2"/>
  </cols>
  <sheetData>
    <row r="3" spans="1:15" ht="18" customHeight="1" x14ac:dyDescent="0.4">
      <c r="A3" s="1"/>
      <c r="B3" s="189" t="s">
        <v>111</v>
      </c>
      <c r="C3" s="189"/>
      <c r="D3" s="189"/>
      <c r="E3" s="189"/>
      <c r="F3" s="189"/>
      <c r="G3" s="189"/>
      <c r="H3" s="189"/>
      <c r="I3" s="189"/>
      <c r="J3" s="189"/>
      <c r="K3" s="189"/>
    </row>
    <row r="4" spans="1:15" ht="30.75" x14ac:dyDescent="0.4">
      <c r="A4" s="1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5" x14ac:dyDescent="0.4"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5" ht="30" customHeight="1" x14ac:dyDescent="0.4">
      <c r="B6" s="3"/>
      <c r="C6" s="3"/>
      <c r="D6" s="3"/>
      <c r="E6" s="3"/>
      <c r="F6" s="3"/>
      <c r="G6" s="3"/>
      <c r="H6" s="3"/>
      <c r="I6" s="3"/>
      <c r="J6" s="3"/>
      <c r="K6" s="3"/>
    </row>
    <row r="7" spans="1:15" ht="30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</row>
    <row r="8" spans="1:15" s="4" customFormat="1" ht="30" customHeight="1" x14ac:dyDescent="0.4">
      <c r="B8" s="5" t="s">
        <v>0</v>
      </c>
      <c r="C8" s="6"/>
      <c r="D8" s="6"/>
      <c r="E8" s="6"/>
      <c r="F8" s="6"/>
      <c r="G8" s="6"/>
      <c r="H8" s="6"/>
      <c r="I8" s="6"/>
      <c r="J8" s="6"/>
      <c r="K8" s="6"/>
    </row>
    <row r="9" spans="1:15" s="4" customFormat="1" ht="30" customHeight="1" x14ac:dyDescent="0.4">
      <c r="B9" s="7" t="s">
        <v>1</v>
      </c>
      <c r="C9" s="6"/>
      <c r="D9" s="6"/>
      <c r="E9" s="6"/>
      <c r="F9" s="6"/>
      <c r="G9" s="6"/>
      <c r="H9" s="6"/>
      <c r="I9" s="6"/>
      <c r="J9" s="6"/>
      <c r="K9" s="6"/>
    </row>
    <row r="10" spans="1:15" s="4" customFormat="1" ht="30" customHeight="1" x14ac:dyDescent="0.4">
      <c r="B10" s="8" t="s">
        <v>2</v>
      </c>
      <c r="C10" s="6"/>
      <c r="D10" s="6"/>
      <c r="E10" s="6"/>
      <c r="F10" s="6"/>
      <c r="G10" s="6"/>
      <c r="H10" s="6"/>
      <c r="I10" s="6"/>
      <c r="J10" s="6"/>
      <c r="K10" s="6"/>
    </row>
    <row r="11" spans="1:15" ht="30" customHeight="1" x14ac:dyDescent="0.4">
      <c r="A11" s="9"/>
      <c r="B11" s="8" t="s">
        <v>3</v>
      </c>
      <c r="C11" s="10"/>
      <c r="D11" s="10"/>
      <c r="E11" s="10"/>
      <c r="F11" s="10"/>
      <c r="G11" s="10"/>
      <c r="H11" s="10"/>
      <c r="I11" s="10"/>
      <c r="J11" s="10"/>
      <c r="K11" s="10"/>
    </row>
    <row r="12" spans="1:15" ht="30" customHeight="1" x14ac:dyDescent="0.2">
      <c r="A12" s="9"/>
      <c r="B12" s="11"/>
      <c r="C12" s="10"/>
      <c r="D12" s="10"/>
      <c r="E12" s="10"/>
      <c r="F12" s="10"/>
      <c r="G12" s="10"/>
      <c r="H12" s="10"/>
      <c r="I12" s="10"/>
      <c r="J12" s="10"/>
      <c r="K12" s="10"/>
    </row>
    <row r="13" spans="1:15" ht="30" customHeight="1" x14ac:dyDescent="0.35">
      <c r="B13" s="12"/>
      <c r="C13" s="13"/>
      <c r="D13" s="13"/>
      <c r="E13" s="13"/>
      <c r="F13" s="13"/>
      <c r="G13" s="10"/>
      <c r="H13" s="10"/>
      <c r="I13" s="10"/>
      <c r="J13" s="10"/>
      <c r="K13" s="10"/>
      <c r="L13" s="9"/>
    </row>
    <row r="14" spans="1:15" ht="35.25" x14ac:dyDescent="0.35">
      <c r="B14" s="12" t="s">
        <v>4</v>
      </c>
      <c r="C14" s="10"/>
      <c r="D14" s="10"/>
      <c r="E14" s="10"/>
      <c r="F14" s="10"/>
      <c r="G14" s="10"/>
      <c r="H14" s="10"/>
      <c r="I14" s="10"/>
      <c r="J14" s="10"/>
      <c r="K14" s="10"/>
      <c r="L14" s="9"/>
    </row>
    <row r="15" spans="1:15" ht="30" customHeight="1" x14ac:dyDescent="0.4">
      <c r="B15" s="14" t="s">
        <v>5</v>
      </c>
      <c r="C15" s="10"/>
      <c r="D15" s="10"/>
      <c r="E15" s="10"/>
      <c r="F15" s="10"/>
      <c r="G15" s="10"/>
      <c r="H15" s="10"/>
      <c r="I15" s="10"/>
      <c r="J15" s="10"/>
      <c r="K15" s="10"/>
      <c r="L15" s="9"/>
      <c r="O15" s="15"/>
    </row>
    <row r="16" spans="1:15" ht="30" customHeight="1" x14ac:dyDescent="0.4">
      <c r="B16" s="14" t="s">
        <v>6</v>
      </c>
      <c r="C16" s="10"/>
      <c r="D16" s="10"/>
      <c r="E16" s="10"/>
      <c r="F16" s="10"/>
      <c r="G16" s="10"/>
      <c r="H16" s="10"/>
      <c r="I16" s="10"/>
      <c r="J16" s="10"/>
      <c r="K16" s="10"/>
      <c r="L16" s="9"/>
    </row>
    <row r="17" spans="1:19" ht="30" customHeight="1" x14ac:dyDescent="0.4">
      <c r="B17" s="14" t="s">
        <v>110</v>
      </c>
      <c r="C17" s="10"/>
      <c r="D17" s="10"/>
      <c r="E17" s="10"/>
      <c r="F17" s="10"/>
      <c r="G17" s="10"/>
      <c r="H17" s="10"/>
      <c r="I17" s="10"/>
      <c r="J17" s="10"/>
      <c r="K17" s="10"/>
      <c r="L17" s="9"/>
    </row>
    <row r="18" spans="1:19" ht="30" customHeight="1" x14ac:dyDescent="0.4">
      <c r="B18" s="14" t="s">
        <v>7</v>
      </c>
      <c r="C18" s="10"/>
      <c r="D18" s="10"/>
      <c r="E18" s="10"/>
      <c r="F18" s="10"/>
      <c r="G18" s="10"/>
      <c r="H18" s="10"/>
      <c r="I18" s="10"/>
      <c r="J18" s="10"/>
      <c r="K18" s="10"/>
      <c r="L18" s="9"/>
    </row>
    <row r="19" spans="1:19" ht="30" customHeight="1" x14ac:dyDescent="0.4">
      <c r="B19" s="14" t="s">
        <v>8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9" ht="30" customHeight="1" x14ac:dyDescent="0.4">
      <c r="B20" s="14" t="s">
        <v>102</v>
      </c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9" ht="30" customHeight="1" x14ac:dyDescent="0.4">
      <c r="B21" s="14" t="s">
        <v>9</v>
      </c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9" ht="30" customHeight="1" x14ac:dyDescent="0.4">
      <c r="B22" s="16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9" ht="30" customHeight="1" x14ac:dyDescent="0.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9" ht="50.1" customHeight="1" thickBot="1" x14ac:dyDescent="0.45">
      <c r="A24" s="9"/>
      <c r="B24" s="17" t="s">
        <v>112</v>
      </c>
      <c r="D24" s="9"/>
      <c r="E24" s="9"/>
      <c r="F24" s="9"/>
      <c r="G24" s="9"/>
      <c r="H24" s="9"/>
      <c r="I24" s="9"/>
      <c r="J24" s="9"/>
      <c r="K24" s="9"/>
    </row>
    <row r="25" spans="1:19" s="18" customFormat="1" ht="60" customHeight="1" thickBot="1" x14ac:dyDescent="0.45">
      <c r="B25" s="19"/>
      <c r="C25" s="20" t="s">
        <v>10</v>
      </c>
      <c r="D25" s="21" t="s">
        <v>11</v>
      </c>
      <c r="E25" s="93" t="s">
        <v>12</v>
      </c>
      <c r="F25" s="22" t="s">
        <v>13</v>
      </c>
      <c r="G25" s="21" t="s">
        <v>14</v>
      </c>
      <c r="H25" s="22" t="s">
        <v>15</v>
      </c>
      <c r="I25" s="104" t="s">
        <v>16</v>
      </c>
      <c r="J25" s="22" t="s">
        <v>17</v>
      </c>
      <c r="K25" s="20" t="s">
        <v>18</v>
      </c>
    </row>
    <row r="26" spans="1:19" s="18" customFormat="1" ht="39.950000000000003" customHeight="1" thickBot="1" x14ac:dyDescent="0.45">
      <c r="B26" s="22" t="s">
        <v>19</v>
      </c>
      <c r="C26" s="23"/>
      <c r="D26" s="24"/>
      <c r="E26" s="94"/>
      <c r="F26" s="97">
        <f>所得計算!M3</f>
        <v>0</v>
      </c>
      <c r="G26" s="100"/>
      <c r="H26" s="97">
        <f>所得計算!L12</f>
        <v>0</v>
      </c>
      <c r="I26" s="100"/>
      <c r="J26" s="105">
        <f>SUM(F26,H26,I26)</f>
        <v>0</v>
      </c>
      <c r="K26" s="105" t="str">
        <f>IF(C26="〇",MAX(J26-430000,0),"0")</f>
        <v>0</v>
      </c>
      <c r="Q26" s="25"/>
      <c r="R26" s="25"/>
      <c r="S26" s="25"/>
    </row>
    <row r="27" spans="1:19" s="18" customFormat="1" ht="39.950000000000003" customHeight="1" thickBot="1" x14ac:dyDescent="0.45">
      <c r="B27" s="22" t="s">
        <v>20</v>
      </c>
      <c r="C27" s="26"/>
      <c r="D27" s="27"/>
      <c r="E27" s="95"/>
      <c r="F27" s="98">
        <f>所得計算!M4</f>
        <v>0</v>
      </c>
      <c r="G27" s="101"/>
      <c r="H27" s="98">
        <f>所得計算!L13</f>
        <v>0</v>
      </c>
      <c r="I27" s="101"/>
      <c r="J27" s="106">
        <f t="shared" ref="J27:J31" si="0">SUM(F27,H27,I27)</f>
        <v>0</v>
      </c>
      <c r="K27" s="106" t="str">
        <f t="shared" ref="K27:K31" si="1">IF(C27="〇",MAX(J27-430000,0),"0")</f>
        <v>0</v>
      </c>
      <c r="Q27" s="28"/>
      <c r="R27" s="28"/>
      <c r="S27" s="28"/>
    </row>
    <row r="28" spans="1:19" s="18" customFormat="1" ht="39.950000000000003" customHeight="1" thickBot="1" x14ac:dyDescent="0.45">
      <c r="B28" s="22" t="s">
        <v>21</v>
      </c>
      <c r="C28" s="26"/>
      <c r="D28" s="27"/>
      <c r="E28" s="95"/>
      <c r="F28" s="98">
        <f>所得計算!M5</f>
        <v>0</v>
      </c>
      <c r="G28" s="101"/>
      <c r="H28" s="98">
        <f>所得計算!L14</f>
        <v>0</v>
      </c>
      <c r="I28" s="101"/>
      <c r="J28" s="106">
        <f t="shared" si="0"/>
        <v>0</v>
      </c>
      <c r="K28" s="106" t="str">
        <f t="shared" si="1"/>
        <v>0</v>
      </c>
      <c r="Q28" s="28"/>
      <c r="R28" s="28"/>
      <c r="S28" s="28"/>
    </row>
    <row r="29" spans="1:19" s="18" customFormat="1" ht="39.950000000000003" customHeight="1" thickBot="1" x14ac:dyDescent="0.45">
      <c r="B29" s="22" t="s">
        <v>22</v>
      </c>
      <c r="C29" s="26"/>
      <c r="D29" s="27"/>
      <c r="E29" s="95"/>
      <c r="F29" s="98">
        <f>所得計算!M6</f>
        <v>0</v>
      </c>
      <c r="G29" s="101"/>
      <c r="H29" s="98">
        <f>所得計算!L15</f>
        <v>0</v>
      </c>
      <c r="I29" s="101"/>
      <c r="J29" s="106">
        <f t="shared" si="0"/>
        <v>0</v>
      </c>
      <c r="K29" s="106" t="str">
        <f t="shared" si="1"/>
        <v>0</v>
      </c>
    </row>
    <row r="30" spans="1:19" s="18" customFormat="1" ht="39.950000000000003" customHeight="1" thickBot="1" x14ac:dyDescent="0.45">
      <c r="B30" s="22" t="s">
        <v>23</v>
      </c>
      <c r="C30" s="26"/>
      <c r="D30" s="27"/>
      <c r="E30" s="95"/>
      <c r="F30" s="98">
        <f>所得計算!M7</f>
        <v>0</v>
      </c>
      <c r="G30" s="101"/>
      <c r="H30" s="98">
        <f>所得計算!L16</f>
        <v>0</v>
      </c>
      <c r="I30" s="101"/>
      <c r="J30" s="106">
        <f t="shared" si="0"/>
        <v>0</v>
      </c>
      <c r="K30" s="106" t="str">
        <f t="shared" si="1"/>
        <v>0</v>
      </c>
      <c r="Q30" s="28"/>
      <c r="R30" s="28"/>
    </row>
    <row r="31" spans="1:19" s="18" customFormat="1" ht="39.950000000000003" customHeight="1" thickBot="1" x14ac:dyDescent="0.45">
      <c r="B31" s="22" t="s">
        <v>24</v>
      </c>
      <c r="C31" s="29"/>
      <c r="D31" s="30"/>
      <c r="E31" s="96"/>
      <c r="F31" s="99">
        <f>所得計算!M8</f>
        <v>0</v>
      </c>
      <c r="G31" s="102"/>
      <c r="H31" s="103">
        <f>所得計算!L17</f>
        <v>0</v>
      </c>
      <c r="I31" s="102"/>
      <c r="J31" s="103">
        <f t="shared" si="0"/>
        <v>0</v>
      </c>
      <c r="K31" s="103" t="str">
        <f t="shared" si="1"/>
        <v>0</v>
      </c>
    </row>
    <row r="32" spans="1:19" s="18" customFormat="1" ht="30" customHeight="1" x14ac:dyDescent="0.4">
      <c r="B32" s="132"/>
      <c r="C32" s="131"/>
      <c r="D32" s="131"/>
      <c r="E32" s="133"/>
      <c r="F32" s="133"/>
      <c r="G32" s="133"/>
      <c r="H32" s="133"/>
      <c r="I32" s="133"/>
      <c r="J32" s="133"/>
      <c r="K32" s="133"/>
    </row>
    <row r="33" spans="1:12" ht="30" customHeight="1" x14ac:dyDescent="0.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2" ht="30" customHeight="1" thickBot="1" x14ac:dyDescent="0.45">
      <c r="B34" s="31"/>
      <c r="C34" s="31"/>
      <c r="D34" s="31"/>
      <c r="E34" s="31"/>
      <c r="F34" s="31"/>
      <c r="G34" s="31"/>
      <c r="H34" s="31"/>
      <c r="I34" s="31"/>
      <c r="J34" s="31"/>
    </row>
    <row r="35" spans="1:12" ht="18.75" customHeight="1" thickBot="1" x14ac:dyDescent="0.45">
      <c r="B35" s="31"/>
      <c r="C35" s="190"/>
      <c r="D35" s="191"/>
      <c r="E35" s="173" t="s">
        <v>25</v>
      </c>
      <c r="F35" s="173"/>
      <c r="G35" s="173" t="s">
        <v>106</v>
      </c>
      <c r="H35" s="173"/>
      <c r="I35" s="192" t="s">
        <v>107</v>
      </c>
      <c r="J35" s="193"/>
      <c r="K35" s="32"/>
      <c r="L35" s="32"/>
    </row>
    <row r="36" spans="1:12" ht="20.25" customHeight="1" thickBot="1" x14ac:dyDescent="0.45">
      <c r="B36" s="31"/>
      <c r="C36" s="190"/>
      <c r="D36" s="191"/>
      <c r="E36" s="173"/>
      <c r="F36" s="173"/>
      <c r="G36" s="173"/>
      <c r="H36" s="173"/>
      <c r="I36" s="173"/>
      <c r="J36" s="193"/>
      <c r="K36" s="32"/>
      <c r="L36" s="32"/>
    </row>
    <row r="37" spans="1:12" ht="19.5" customHeight="1" thickBot="1" x14ac:dyDescent="0.45">
      <c r="B37" s="31"/>
      <c r="C37" s="190"/>
      <c r="D37" s="191"/>
      <c r="E37" s="173"/>
      <c r="F37" s="173"/>
      <c r="G37" s="173"/>
      <c r="H37" s="173"/>
      <c r="I37" s="173"/>
      <c r="J37" s="193"/>
      <c r="K37" s="32"/>
      <c r="L37" s="32"/>
    </row>
    <row r="38" spans="1:12" ht="19.5" customHeight="1" thickBot="1" x14ac:dyDescent="0.45">
      <c r="B38" s="31"/>
      <c r="C38" s="190"/>
      <c r="D38" s="191"/>
      <c r="E38" s="173"/>
      <c r="F38" s="173"/>
      <c r="G38" s="173"/>
      <c r="H38" s="173"/>
      <c r="I38" s="173"/>
      <c r="J38" s="193"/>
      <c r="K38" s="32"/>
      <c r="L38" s="32"/>
    </row>
    <row r="39" spans="1:12" ht="19.5" customHeight="1" thickBot="1" x14ac:dyDescent="0.45">
      <c r="B39" s="31"/>
      <c r="C39" s="172" t="s">
        <v>108</v>
      </c>
      <c r="D39" s="173"/>
      <c r="E39" s="180">
        <f>SUM(保険料計算!B5:B10)</f>
        <v>0</v>
      </c>
      <c r="F39" s="180"/>
      <c r="G39" s="180">
        <f>SUM(保険料計算!B13:B18)</f>
        <v>0</v>
      </c>
      <c r="H39" s="180"/>
      <c r="I39" s="180">
        <f>SUM(保険料計算!B21:B26)</f>
        <v>0</v>
      </c>
      <c r="J39" s="181"/>
      <c r="K39" s="33"/>
      <c r="L39" s="34"/>
    </row>
    <row r="40" spans="1:12" ht="19.5" customHeight="1" thickBot="1" x14ac:dyDescent="0.45">
      <c r="B40" s="31"/>
      <c r="C40" s="172"/>
      <c r="D40" s="173"/>
      <c r="E40" s="180"/>
      <c r="F40" s="180"/>
      <c r="G40" s="180"/>
      <c r="H40" s="180"/>
      <c r="I40" s="180"/>
      <c r="J40" s="181"/>
      <c r="K40" s="34"/>
      <c r="L40" s="34"/>
    </row>
    <row r="41" spans="1:12" ht="19.5" customHeight="1" thickBot="1" x14ac:dyDescent="0.45">
      <c r="B41" s="31"/>
      <c r="C41" s="172"/>
      <c r="D41" s="173"/>
      <c r="E41" s="180"/>
      <c r="F41" s="180"/>
      <c r="G41" s="180"/>
      <c r="H41" s="180"/>
      <c r="I41" s="180"/>
      <c r="J41" s="181"/>
      <c r="K41" s="34"/>
      <c r="L41" s="34"/>
    </row>
    <row r="42" spans="1:12" ht="19.5" customHeight="1" thickBot="1" x14ac:dyDescent="0.45">
      <c r="B42" s="31"/>
      <c r="C42" s="172"/>
      <c r="D42" s="173"/>
      <c r="E42" s="180"/>
      <c r="F42" s="180"/>
      <c r="G42" s="180"/>
      <c r="H42" s="180"/>
      <c r="I42" s="180"/>
      <c r="J42" s="181"/>
      <c r="K42" s="34"/>
      <c r="L42" s="34"/>
    </row>
    <row r="43" spans="1:12" ht="19.5" customHeight="1" thickBot="1" x14ac:dyDescent="0.45">
      <c r="C43" s="172" t="s">
        <v>97</v>
      </c>
      <c r="D43" s="173"/>
      <c r="E43" s="174">
        <f>SUM(保険料計算!C5:J10)</f>
        <v>0</v>
      </c>
      <c r="F43" s="175"/>
      <c r="G43" s="180">
        <f>SUM(保険料計算!C13:J18)</f>
        <v>0</v>
      </c>
      <c r="H43" s="180"/>
      <c r="I43" s="180">
        <f>SUM(保険料計算!C21:F26)</f>
        <v>0</v>
      </c>
      <c r="J43" s="181"/>
      <c r="K43" s="33"/>
      <c r="L43" s="34"/>
    </row>
    <row r="44" spans="1:12" ht="19.5" customHeight="1" thickBot="1" x14ac:dyDescent="0.45">
      <c r="C44" s="172"/>
      <c r="D44" s="173"/>
      <c r="E44" s="176"/>
      <c r="F44" s="177"/>
      <c r="G44" s="180"/>
      <c r="H44" s="180"/>
      <c r="I44" s="180"/>
      <c r="J44" s="181"/>
      <c r="K44" s="34"/>
      <c r="L44" s="34"/>
    </row>
    <row r="45" spans="1:12" ht="19.5" customHeight="1" thickBot="1" x14ac:dyDescent="0.45">
      <c r="C45" s="172"/>
      <c r="D45" s="173"/>
      <c r="E45" s="176"/>
      <c r="F45" s="177"/>
      <c r="G45" s="180"/>
      <c r="H45" s="180"/>
      <c r="I45" s="180"/>
      <c r="J45" s="181"/>
      <c r="K45" s="34"/>
      <c r="L45" s="34"/>
    </row>
    <row r="46" spans="1:12" ht="19.5" customHeight="1" thickBot="1" x14ac:dyDescent="0.45">
      <c r="C46" s="172"/>
      <c r="D46" s="173"/>
      <c r="E46" s="178"/>
      <c r="F46" s="179"/>
      <c r="G46" s="180"/>
      <c r="H46" s="180"/>
      <c r="I46" s="180"/>
      <c r="J46" s="181"/>
      <c r="K46" s="34"/>
      <c r="L46" s="34"/>
    </row>
    <row r="47" spans="1:12" ht="19.5" customHeight="1" thickBot="1" x14ac:dyDescent="0.45">
      <c r="C47" s="172" t="s">
        <v>109</v>
      </c>
      <c r="D47" s="173"/>
      <c r="E47" s="180">
        <f>SUM(保険料計算!K5:N5)</f>
        <v>0</v>
      </c>
      <c r="F47" s="180"/>
      <c r="G47" s="180">
        <f>SUM(保険料計算!K13:N13)</f>
        <v>0</v>
      </c>
      <c r="H47" s="180"/>
      <c r="I47" s="185"/>
      <c r="J47" s="186"/>
      <c r="K47" s="33"/>
      <c r="L47" s="34"/>
    </row>
    <row r="48" spans="1:12" ht="19.5" customHeight="1" thickBot="1" x14ac:dyDescent="0.45">
      <c r="C48" s="172"/>
      <c r="D48" s="173"/>
      <c r="E48" s="180"/>
      <c r="F48" s="180"/>
      <c r="G48" s="180"/>
      <c r="H48" s="180"/>
      <c r="I48" s="185"/>
      <c r="J48" s="186"/>
      <c r="K48" s="34"/>
      <c r="L48" s="34"/>
    </row>
    <row r="49" spans="3:12" ht="19.5" customHeight="1" thickBot="1" x14ac:dyDescent="0.45">
      <c r="C49" s="172"/>
      <c r="D49" s="173"/>
      <c r="E49" s="180"/>
      <c r="F49" s="180"/>
      <c r="G49" s="180"/>
      <c r="H49" s="180"/>
      <c r="I49" s="185"/>
      <c r="J49" s="186"/>
      <c r="K49" s="34"/>
      <c r="L49" s="34"/>
    </row>
    <row r="50" spans="3:12" ht="19.5" customHeight="1" thickBot="1" x14ac:dyDescent="0.45">
      <c r="C50" s="182"/>
      <c r="D50" s="183"/>
      <c r="E50" s="184"/>
      <c r="F50" s="184"/>
      <c r="G50" s="184"/>
      <c r="H50" s="184"/>
      <c r="I50" s="187"/>
      <c r="J50" s="188"/>
      <c r="K50" s="34"/>
      <c r="L50" s="34"/>
    </row>
    <row r="51" spans="3:12" ht="20.100000000000001" customHeight="1" thickTop="1" x14ac:dyDescent="0.4">
      <c r="C51" s="154" t="s">
        <v>29</v>
      </c>
      <c r="D51" s="154"/>
      <c r="E51" s="157">
        <f>SUM(E39:F50)</f>
        <v>0</v>
      </c>
      <c r="F51" s="157"/>
      <c r="G51" s="157">
        <f>SUM(G39:H50)</f>
        <v>0</v>
      </c>
      <c r="H51" s="157"/>
      <c r="I51" s="157">
        <f>SUM(I39:J50)</f>
        <v>0</v>
      </c>
      <c r="J51" s="157"/>
      <c r="K51" s="33"/>
      <c r="L51" s="34"/>
    </row>
    <row r="52" spans="3:12" ht="20.100000000000001" customHeight="1" x14ac:dyDescent="0.4">
      <c r="C52" s="155"/>
      <c r="D52" s="155"/>
      <c r="E52" s="158"/>
      <c r="F52" s="158"/>
      <c r="G52" s="158"/>
      <c r="H52" s="158"/>
      <c r="I52" s="158"/>
      <c r="J52" s="158"/>
      <c r="K52" s="34"/>
      <c r="L52" s="34"/>
    </row>
    <row r="53" spans="3:12" ht="19.5" customHeight="1" x14ac:dyDescent="0.4">
      <c r="C53" s="155"/>
      <c r="D53" s="155"/>
      <c r="E53" s="158"/>
      <c r="F53" s="158"/>
      <c r="G53" s="158"/>
      <c r="H53" s="158"/>
      <c r="I53" s="158"/>
      <c r="J53" s="158"/>
      <c r="K53" s="34"/>
      <c r="L53" s="34"/>
    </row>
    <row r="54" spans="3:12" ht="20.100000000000001" customHeight="1" thickBot="1" x14ac:dyDescent="0.45">
      <c r="C54" s="156"/>
      <c r="D54" s="156"/>
      <c r="E54" s="159"/>
      <c r="F54" s="159"/>
      <c r="G54" s="159"/>
      <c r="H54" s="159"/>
      <c r="I54" s="159"/>
      <c r="J54" s="159"/>
      <c r="K54" s="34"/>
      <c r="L54" s="34"/>
    </row>
    <row r="55" spans="3:12" ht="20.100000000000001" customHeight="1" thickTop="1" x14ac:dyDescent="0.4"/>
    <row r="56" spans="3:12" ht="20.100000000000001" customHeight="1" x14ac:dyDescent="0.4">
      <c r="C56" s="130"/>
    </row>
    <row r="57" spans="3:12" ht="33" customHeight="1" x14ac:dyDescent="0.4">
      <c r="C57" s="130" t="str">
        <f>保険料計算!X5</f>
        <v/>
      </c>
    </row>
    <row r="58" spans="3:12" ht="20.100000000000001" customHeight="1" x14ac:dyDescent="0.4">
      <c r="C58" s="130"/>
      <c r="D58" s="129"/>
      <c r="E58" s="129"/>
    </row>
    <row r="59" spans="3:12" hidden="1" x14ac:dyDescent="0.4"/>
    <row r="60" spans="3:12" ht="20.25" hidden="1" customHeight="1" thickBot="1" x14ac:dyDescent="0.45">
      <c r="C60" s="160" t="s">
        <v>30</v>
      </c>
      <c r="D60" s="161"/>
      <c r="E60" s="166">
        <f>料率入力欄!F6</f>
        <v>650000</v>
      </c>
      <c r="F60" s="167"/>
      <c r="G60" s="166">
        <f>料率入力欄!F7</f>
        <v>240000</v>
      </c>
      <c r="H60" s="167"/>
      <c r="I60" s="166">
        <f>料率入力欄!F8</f>
        <v>170000</v>
      </c>
      <c r="J60" s="167"/>
    </row>
    <row r="61" spans="3:12" ht="20.25" hidden="1" customHeight="1" thickTop="1" thickBot="1" x14ac:dyDescent="0.45">
      <c r="C61" s="162"/>
      <c r="D61" s="163"/>
      <c r="E61" s="168"/>
      <c r="F61" s="169"/>
      <c r="G61" s="168"/>
      <c r="H61" s="169"/>
      <c r="I61" s="168"/>
      <c r="J61" s="169"/>
    </row>
    <row r="62" spans="3:12" ht="20.25" hidden="1" customHeight="1" thickTop="1" thickBot="1" x14ac:dyDescent="0.45">
      <c r="C62" s="162"/>
      <c r="D62" s="163"/>
      <c r="E62" s="168"/>
      <c r="F62" s="169"/>
      <c r="G62" s="168"/>
      <c r="H62" s="169"/>
      <c r="I62" s="168"/>
      <c r="J62" s="169"/>
    </row>
    <row r="63" spans="3:12" ht="20.25" hidden="1" customHeight="1" thickTop="1" x14ac:dyDescent="0.4">
      <c r="C63" s="164"/>
      <c r="D63" s="165"/>
      <c r="E63" s="170"/>
      <c r="F63" s="171"/>
      <c r="G63" s="170"/>
      <c r="H63" s="171"/>
      <c r="I63" s="170"/>
      <c r="J63" s="171"/>
    </row>
    <row r="64" spans="3:12" hidden="1" x14ac:dyDescent="0.4"/>
    <row r="66" spans="3:10" ht="14.25" thickBot="1" x14ac:dyDescent="0.45"/>
    <row r="67" spans="3:10" ht="14.25" thickTop="1" x14ac:dyDescent="0.4">
      <c r="C67" s="139" t="s">
        <v>31</v>
      </c>
      <c r="D67" s="140"/>
      <c r="E67" s="140"/>
      <c r="F67" s="140"/>
      <c r="G67" s="140"/>
      <c r="H67" s="145">
        <f>SUM(IF(E51&lt;E60,E51,E60),IF(G51&lt;G60,G51,G60),IF(I51&lt;I60,I51,I60))</f>
        <v>0</v>
      </c>
      <c r="I67" s="146"/>
      <c r="J67" s="147"/>
    </row>
    <row r="68" spans="3:10" x14ac:dyDescent="0.4">
      <c r="C68" s="141"/>
      <c r="D68" s="142"/>
      <c r="E68" s="142"/>
      <c r="F68" s="142"/>
      <c r="G68" s="142"/>
      <c r="H68" s="148"/>
      <c r="I68" s="149"/>
      <c r="J68" s="150"/>
    </row>
    <row r="69" spans="3:10" x14ac:dyDescent="0.4">
      <c r="C69" s="141"/>
      <c r="D69" s="142"/>
      <c r="E69" s="142"/>
      <c r="F69" s="142"/>
      <c r="G69" s="142"/>
      <c r="H69" s="148"/>
      <c r="I69" s="149"/>
      <c r="J69" s="150"/>
    </row>
    <row r="70" spans="3:10" ht="14.25" thickBot="1" x14ac:dyDescent="0.45">
      <c r="C70" s="143"/>
      <c r="D70" s="144"/>
      <c r="E70" s="144"/>
      <c r="F70" s="144"/>
      <c r="G70" s="144"/>
      <c r="H70" s="151"/>
      <c r="I70" s="152"/>
      <c r="J70" s="153"/>
    </row>
    <row r="72" spans="3:10" ht="14.25" thickBot="1" x14ac:dyDescent="0.45"/>
    <row r="73" spans="3:10" ht="14.25" thickTop="1" x14ac:dyDescent="0.4">
      <c r="C73" s="139" t="s">
        <v>32</v>
      </c>
      <c r="D73" s="140"/>
      <c r="E73" s="140"/>
      <c r="F73" s="140"/>
      <c r="G73" s="140"/>
      <c r="H73" s="145">
        <f>H67/12</f>
        <v>0</v>
      </c>
      <c r="I73" s="146"/>
      <c r="J73" s="147"/>
    </row>
    <row r="74" spans="3:10" x14ac:dyDescent="0.4">
      <c r="C74" s="141"/>
      <c r="D74" s="142"/>
      <c r="E74" s="142"/>
      <c r="F74" s="142"/>
      <c r="G74" s="142"/>
      <c r="H74" s="148"/>
      <c r="I74" s="149"/>
      <c r="J74" s="150"/>
    </row>
    <row r="75" spans="3:10" x14ac:dyDescent="0.4">
      <c r="C75" s="141"/>
      <c r="D75" s="142"/>
      <c r="E75" s="142"/>
      <c r="F75" s="142"/>
      <c r="G75" s="142"/>
      <c r="H75" s="148"/>
      <c r="I75" s="149"/>
      <c r="J75" s="150"/>
    </row>
    <row r="76" spans="3:10" ht="14.25" thickBot="1" x14ac:dyDescent="0.45">
      <c r="C76" s="143"/>
      <c r="D76" s="144"/>
      <c r="E76" s="144"/>
      <c r="F76" s="144"/>
      <c r="G76" s="144"/>
      <c r="H76" s="151"/>
      <c r="I76" s="152"/>
      <c r="J76" s="153"/>
    </row>
    <row r="77" spans="3:10" ht="30" customHeight="1" x14ac:dyDescent="0.4">
      <c r="C77" s="35"/>
      <c r="D77" s="35"/>
      <c r="E77" s="35"/>
      <c r="F77" s="35"/>
      <c r="G77" s="35"/>
      <c r="H77" s="36"/>
      <c r="I77" s="36"/>
      <c r="J77" s="36"/>
    </row>
    <row r="78" spans="3:10" s="4" customFormat="1" ht="30" customHeight="1" x14ac:dyDescent="0.4">
      <c r="C78" s="37" t="s">
        <v>33</v>
      </c>
    </row>
    <row r="79" spans="3:10" s="4" customFormat="1" ht="9.9499999999999993" customHeight="1" x14ac:dyDescent="0.4">
      <c r="C79" s="37"/>
    </row>
    <row r="80" spans="3:10" s="4" customFormat="1" ht="30" customHeight="1" x14ac:dyDescent="0.4">
      <c r="C80" s="37" t="s">
        <v>34</v>
      </c>
    </row>
    <row r="81" spans="2:2" s="4" customFormat="1" ht="30" customHeight="1" x14ac:dyDescent="0.4"/>
    <row r="82" spans="2:2" s="4" customFormat="1" ht="28.5" x14ac:dyDescent="0.4"/>
    <row r="83" spans="2:2" s="4" customFormat="1" ht="42" x14ac:dyDescent="0.4">
      <c r="B83" s="38" t="s">
        <v>35</v>
      </c>
    </row>
    <row r="84" spans="2:2" s="4" customFormat="1" ht="30" customHeight="1" x14ac:dyDescent="0.4"/>
    <row r="85" spans="2:2" s="4" customFormat="1" ht="30" customHeight="1" x14ac:dyDescent="0.4"/>
  </sheetData>
  <sheetProtection password="E53D" sheet="1" selectLockedCells="1"/>
  <mergeCells count="29">
    <mergeCell ref="C39:D42"/>
    <mergeCell ref="E39:F42"/>
    <mergeCell ref="G39:H42"/>
    <mergeCell ref="I39:J42"/>
    <mergeCell ref="B3:K5"/>
    <mergeCell ref="C35:D38"/>
    <mergeCell ref="E35:F38"/>
    <mergeCell ref="G35:H38"/>
    <mergeCell ref="I35:J38"/>
    <mergeCell ref="C43:D46"/>
    <mergeCell ref="E43:F46"/>
    <mergeCell ref="G43:H46"/>
    <mergeCell ref="I43:J46"/>
    <mergeCell ref="C47:D50"/>
    <mergeCell ref="E47:F50"/>
    <mergeCell ref="G47:H50"/>
    <mergeCell ref="I47:J50"/>
    <mergeCell ref="C67:G70"/>
    <mergeCell ref="H67:J70"/>
    <mergeCell ref="C73:G76"/>
    <mergeCell ref="H73:J76"/>
    <mergeCell ref="C51:D54"/>
    <mergeCell ref="E51:F54"/>
    <mergeCell ref="G51:H54"/>
    <mergeCell ref="I51:J54"/>
    <mergeCell ref="C60:D63"/>
    <mergeCell ref="E60:F63"/>
    <mergeCell ref="G60:H63"/>
    <mergeCell ref="I60:J63"/>
  </mergeCells>
  <phoneticPr fontId="3"/>
  <dataValidations count="1">
    <dataValidation type="list" showInputMessage="1" showErrorMessage="1" sqref="C26:C31">
      <formula1>"　,〇,×"</formula1>
    </dataValidation>
  </dataValidations>
  <pageMargins left="0.7" right="0.7" top="0.75" bottom="0.75" header="0.3" footer="0.3"/>
  <pageSetup paperSize="9"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60" zoomScaleNormal="60" workbookViewId="0">
      <selection activeCell="N13" sqref="N13"/>
    </sheetView>
  </sheetViews>
  <sheetFormatPr defaultRowHeight="18.75" x14ac:dyDescent="0.4"/>
  <cols>
    <col min="1" max="1" width="20.625" style="75" customWidth="1"/>
    <col min="2" max="2" width="22.625" style="75" customWidth="1"/>
    <col min="3" max="15" width="22.625" style="40" customWidth="1"/>
    <col min="16" max="16384" width="9" style="40"/>
  </cols>
  <sheetData>
    <row r="1" spans="1:15" ht="36" thickBot="1" x14ac:dyDescent="0.75">
      <c r="A1" s="39" t="s">
        <v>13</v>
      </c>
      <c r="B1" s="197" t="s">
        <v>36</v>
      </c>
      <c r="C1" s="198"/>
      <c r="D1" s="198"/>
      <c r="E1" s="198"/>
      <c r="F1" s="198"/>
      <c r="G1" s="198"/>
      <c r="H1" s="198"/>
      <c r="I1" s="198"/>
      <c r="J1" s="198"/>
      <c r="K1" s="199"/>
      <c r="L1" s="200" t="s">
        <v>37</v>
      </c>
      <c r="M1" s="200" t="s">
        <v>38</v>
      </c>
    </row>
    <row r="2" spans="1:15" ht="36" thickBot="1" x14ac:dyDescent="0.45">
      <c r="A2" s="92" t="s">
        <v>39</v>
      </c>
      <c r="B2" s="41" t="s">
        <v>40</v>
      </c>
      <c r="C2" s="42" t="s">
        <v>41</v>
      </c>
      <c r="D2" s="43" t="s">
        <v>42</v>
      </c>
      <c r="E2" s="42" t="s">
        <v>43</v>
      </c>
      <c r="F2" s="42" t="s">
        <v>44</v>
      </c>
      <c r="G2" s="42" t="s">
        <v>45</v>
      </c>
      <c r="H2" s="42" t="s">
        <v>46</v>
      </c>
      <c r="I2" s="42" t="s">
        <v>47</v>
      </c>
      <c r="J2" s="42" t="s">
        <v>48</v>
      </c>
      <c r="K2" s="44" t="s">
        <v>49</v>
      </c>
      <c r="L2" s="201"/>
      <c r="M2" s="201"/>
    </row>
    <row r="3" spans="1:15" ht="36" thickBot="1" x14ac:dyDescent="0.75">
      <c r="A3" s="92" t="s">
        <v>19</v>
      </c>
      <c r="B3" s="45">
        <f>IF(試算シート!E26&lt;1619000,MAX(試算シート!E26-550000,0),"0")</f>
        <v>0</v>
      </c>
      <c r="C3" s="46" t="str">
        <f>IF(AND(1619000&lt;=試算シート!E26,試算シート!E26&lt;=1619999),1069000,"0")</f>
        <v>0</v>
      </c>
      <c r="D3" s="46" t="str">
        <f>IF(AND(1620000&lt;=試算シート!E26,試算シート!E26&lt;=1621999),1070000,"0")</f>
        <v>0</v>
      </c>
      <c r="E3" s="46" t="str">
        <f>IF(AND(1622000&lt;=試算シート!E26,試算シート!E26&lt;=1623999),1072000,"0")</f>
        <v>0</v>
      </c>
      <c r="F3" s="46" t="str">
        <f>IF(AND(1624000&lt;=試算シート!E26,試算シート!E26&lt;=1627999),1074000,"0")</f>
        <v>0</v>
      </c>
      <c r="G3" s="46" t="str">
        <f>IF(AND(1628000&lt;=試算シート!E26,試算シート!E26&lt;=1803999),QUOTIENT(試算シート!E26,4000)*4000*0.6+100000,"0")</f>
        <v>0</v>
      </c>
      <c r="H3" s="46" t="str">
        <f>IF(AND(1804000&lt;=試算シート!E26,試算シート!E26&lt;=3603999),QUOTIENT(試算シート!E26,4000)*4000*0.7-80000,"0")</f>
        <v>0</v>
      </c>
      <c r="I3" s="46" t="str">
        <f>IF(AND(3604000&lt;=試算シート!E26,試算シート!E26&lt;=6599999),QUOTIENT(試算シート!E26,4000)*4000*0.8-440000,"0")</f>
        <v>0</v>
      </c>
      <c r="J3" s="46" t="str">
        <f>IF(AND(6600000&lt;=試算シート!E26,試算シート!E26&lt;=8500000),試算シート!E26*0.9-1100000,"0")</f>
        <v>0</v>
      </c>
      <c r="K3" s="47" t="str">
        <f>IF(8500001&lt;=試算シート!E26,試算シート!E26-1950000,"0")</f>
        <v>0</v>
      </c>
      <c r="L3" s="48">
        <f t="shared" ref="L3:L8" si="0">SUM(B3:K3)</f>
        <v>0</v>
      </c>
      <c r="M3" s="49">
        <f t="shared" ref="M3:M8" si="1">IF(100000&lt;=SUM(L3,L12),L3-SUM(IF(100000&lt;=L3,100000,L3),IF(100000&lt;=L12,100000,L12)-100000),L3)</f>
        <v>0</v>
      </c>
    </row>
    <row r="4" spans="1:15" ht="36" thickBot="1" x14ac:dyDescent="0.75">
      <c r="A4" s="92" t="s">
        <v>50</v>
      </c>
      <c r="B4" s="45">
        <f>IF(試算シート!E27&lt;1619000,MAX(試算シート!E27-550000,0),"0")</f>
        <v>0</v>
      </c>
      <c r="C4" s="46" t="str">
        <f>IF(AND(1619000&lt;=試算シート!E27,試算シート!E27&lt;=1619999),1069000,"0")</f>
        <v>0</v>
      </c>
      <c r="D4" s="46" t="str">
        <f>IF(AND(1620000&lt;=試算シート!E27,試算シート!E27&lt;=1621999),1070000,"0")</f>
        <v>0</v>
      </c>
      <c r="E4" s="46" t="str">
        <f>IF(AND(1622000&lt;=試算シート!E27,試算シート!E27&lt;=1623999),1072000,"0")</f>
        <v>0</v>
      </c>
      <c r="F4" s="46" t="str">
        <f>IF(AND(1624000&lt;=試算シート!E27,試算シート!E27&lt;=1627999),1074000,"0")</f>
        <v>0</v>
      </c>
      <c r="G4" s="46" t="str">
        <f>IF(AND(1628000&lt;=試算シート!E27,試算シート!E27&lt;=1803999),QUOTIENT(試算シート!E27,4000)*4000*0.6+100000,"0")</f>
        <v>0</v>
      </c>
      <c r="H4" s="46" t="str">
        <f>IF(AND(1804000&lt;=試算シート!E27,試算シート!E27&lt;=3603999),QUOTIENT(試算シート!E27,4000)*4000*0.7-80000,"0")</f>
        <v>0</v>
      </c>
      <c r="I4" s="46" t="str">
        <f>IF(AND(3604000&lt;=試算シート!E27,試算シート!E27&lt;=6599999),QUOTIENT(試算シート!E27,4000)*4000*0.8-440000,"0")</f>
        <v>0</v>
      </c>
      <c r="J4" s="46" t="str">
        <f>IF(AND(6600000&lt;=試算シート!E27,試算シート!E27&lt;=8500000),試算シート!E27*0.9-1100000,"0")</f>
        <v>0</v>
      </c>
      <c r="K4" s="47" t="str">
        <f>IF(8500001&lt;=試算シート!E27,試算シート!E27-1950000,"0")</f>
        <v>0</v>
      </c>
      <c r="L4" s="48">
        <f t="shared" si="0"/>
        <v>0</v>
      </c>
      <c r="M4" s="49">
        <f t="shared" si="1"/>
        <v>0</v>
      </c>
    </row>
    <row r="5" spans="1:15" ht="36" thickBot="1" x14ac:dyDescent="0.75">
      <c r="A5" s="92" t="s">
        <v>51</v>
      </c>
      <c r="B5" s="45">
        <f>IF(試算シート!E28&lt;1619000,MAX(試算シート!E28-550000,0),"0")</f>
        <v>0</v>
      </c>
      <c r="C5" s="46" t="str">
        <f>IF(AND(1619000&lt;=試算シート!E28,試算シート!E28&lt;=1619999),1069000,"0")</f>
        <v>0</v>
      </c>
      <c r="D5" s="46" t="str">
        <f>IF(AND(1620000&lt;=試算シート!E28,試算シート!E28&lt;=1621999),1070000,"0")</f>
        <v>0</v>
      </c>
      <c r="E5" s="46" t="str">
        <f>IF(AND(1622000&lt;=試算シート!E28,試算シート!E28&lt;=1623999),1072000,"0")</f>
        <v>0</v>
      </c>
      <c r="F5" s="46" t="str">
        <f>IF(AND(1624000&lt;=試算シート!E28,試算シート!E28&lt;=1627999),1074000,"0")</f>
        <v>0</v>
      </c>
      <c r="G5" s="46" t="str">
        <f>IF(AND(1628000&lt;=試算シート!E28,試算シート!E28&lt;=1803999),QUOTIENT(試算シート!E28,4000)*4000*0.6+100000,"0")</f>
        <v>0</v>
      </c>
      <c r="H5" s="46" t="str">
        <f>IF(AND(1804000&lt;=試算シート!E28,試算シート!E28&lt;=3603999),QUOTIENT(試算シート!E28,4000)*4000*0.7-80000,"0")</f>
        <v>0</v>
      </c>
      <c r="I5" s="46" t="str">
        <f>IF(AND(3604000&lt;=試算シート!E28,試算シート!E28&lt;=6599999),QUOTIENT(試算シート!E28,4000)*4000*0.8-440000,"0")</f>
        <v>0</v>
      </c>
      <c r="J5" s="46" t="str">
        <f>IF(AND(6600000&lt;=試算シート!E28,試算シート!E28&lt;=8500000),試算シート!E28*0.9-1100000,"0")</f>
        <v>0</v>
      </c>
      <c r="K5" s="47" t="str">
        <f>IF(8500001&lt;=試算シート!E28,試算シート!E28-1950000,"0")</f>
        <v>0</v>
      </c>
      <c r="L5" s="48">
        <f t="shared" si="0"/>
        <v>0</v>
      </c>
      <c r="M5" s="49">
        <f t="shared" si="1"/>
        <v>0</v>
      </c>
    </row>
    <row r="6" spans="1:15" ht="36" thickBot="1" x14ac:dyDescent="0.75">
      <c r="A6" s="92" t="s">
        <v>52</v>
      </c>
      <c r="B6" s="45">
        <f>IF(試算シート!E29&lt;1619000,MAX(試算シート!E29-550000,0),"0")</f>
        <v>0</v>
      </c>
      <c r="C6" s="46" t="str">
        <f>IF(AND(1619000&lt;=試算シート!E29,試算シート!E29&lt;=1619999),1069000,"0")</f>
        <v>0</v>
      </c>
      <c r="D6" s="46" t="str">
        <f>IF(AND(1620000&lt;=試算シート!E29,試算シート!E29&lt;=1621999),1070000,"0")</f>
        <v>0</v>
      </c>
      <c r="E6" s="46" t="str">
        <f>IF(AND(1622000&lt;=試算シート!E29,試算シート!E29&lt;=1623999),1072000,"0")</f>
        <v>0</v>
      </c>
      <c r="F6" s="46" t="str">
        <f>IF(AND(1624000&lt;=試算シート!E29,試算シート!E29&lt;=1627999),1074000,"0")</f>
        <v>0</v>
      </c>
      <c r="G6" s="46" t="str">
        <f>IF(AND(1628000&lt;=試算シート!E29,試算シート!E29&lt;=1803999),QUOTIENT(試算シート!E29,4000)*4000*0.6+100000,"0")</f>
        <v>0</v>
      </c>
      <c r="H6" s="46" t="str">
        <f>IF(AND(1804000&lt;=試算シート!E29,試算シート!E29&lt;=3603999),QUOTIENT(試算シート!E29,4000)*4000*0.7-80000,"0")</f>
        <v>0</v>
      </c>
      <c r="I6" s="46" t="str">
        <f>IF(AND(3604000&lt;=試算シート!E29,試算シート!E29&lt;=6599999),QUOTIENT(試算シート!E29,4000)*4000*0.8-440000,"0")</f>
        <v>0</v>
      </c>
      <c r="J6" s="46" t="str">
        <f>IF(AND(6600000&lt;=試算シート!E29,試算シート!E29&lt;=8500000),試算シート!E29*0.9-1100000,"0")</f>
        <v>0</v>
      </c>
      <c r="K6" s="47" t="str">
        <f>IF(8500001&lt;=試算シート!E29,試算シート!E29-1950000,"0")</f>
        <v>0</v>
      </c>
      <c r="L6" s="48">
        <f t="shared" si="0"/>
        <v>0</v>
      </c>
      <c r="M6" s="49">
        <f t="shared" si="1"/>
        <v>0</v>
      </c>
    </row>
    <row r="7" spans="1:15" ht="36" thickBot="1" x14ac:dyDescent="0.75">
      <c r="A7" s="92" t="s">
        <v>53</v>
      </c>
      <c r="B7" s="45">
        <f>IF(試算シート!E30&lt;1619000,MAX(試算シート!E30-550000,0),"0")</f>
        <v>0</v>
      </c>
      <c r="C7" s="46" t="str">
        <f>IF(AND(1619000&lt;=試算シート!E30,試算シート!E30&lt;=1619999),1069000,"0")</f>
        <v>0</v>
      </c>
      <c r="D7" s="46" t="str">
        <f>IF(AND(1620000&lt;=試算シート!E30,試算シート!E30&lt;=1621999),1070000,"0")</f>
        <v>0</v>
      </c>
      <c r="E7" s="46" t="str">
        <f>IF(AND(1622000&lt;=試算シート!E30,試算シート!E30&lt;=1623999),1072000,"0")</f>
        <v>0</v>
      </c>
      <c r="F7" s="46" t="str">
        <f>IF(AND(1624000&lt;=試算シート!E30,試算シート!E30&lt;=1627999),1074000,"0")</f>
        <v>0</v>
      </c>
      <c r="G7" s="46" t="str">
        <f>IF(AND(1628000&lt;=試算シート!E30,試算シート!E30&lt;=1803999),QUOTIENT(試算シート!E30,4000)*4000*0.6+100000,"0")</f>
        <v>0</v>
      </c>
      <c r="H7" s="46" t="str">
        <f>IF(AND(1804000&lt;=試算シート!E30,試算シート!E30&lt;=3603999),QUOTIENT(試算シート!E30,4000)*4000*0.7-80000,"0")</f>
        <v>0</v>
      </c>
      <c r="I7" s="46" t="str">
        <f>IF(AND(3604000&lt;=試算シート!E30,試算シート!E30&lt;=6599999),QUOTIENT(試算シート!E30,4000)*4000*0.8-440000,"0")</f>
        <v>0</v>
      </c>
      <c r="J7" s="46" t="str">
        <f>IF(AND(6600000&lt;=試算シート!E30,試算シート!E30&lt;=8500000),試算シート!E30*0.9-1100000,"0")</f>
        <v>0</v>
      </c>
      <c r="K7" s="47" t="str">
        <f>IF(8500001&lt;=試算シート!E30,試算シート!E30-1950000,"0")</f>
        <v>0</v>
      </c>
      <c r="L7" s="48">
        <f t="shared" si="0"/>
        <v>0</v>
      </c>
      <c r="M7" s="49">
        <f t="shared" si="1"/>
        <v>0</v>
      </c>
    </row>
    <row r="8" spans="1:15" ht="36" thickBot="1" x14ac:dyDescent="0.75">
      <c r="A8" s="92" t="s">
        <v>54</v>
      </c>
      <c r="B8" s="107">
        <f>IF(試算シート!E31&lt;1619000,MAX(試算シート!E31-550000,0),"0")</f>
        <v>0</v>
      </c>
      <c r="C8" s="50" t="str">
        <f>IF(AND(1619000&lt;=試算シート!E31,試算シート!E31&lt;=1619999),1069000,"0")</f>
        <v>0</v>
      </c>
      <c r="D8" s="50" t="str">
        <f>IF(AND(1620000&lt;=試算シート!E31,試算シート!E31&lt;=1621999),1070000,"0")</f>
        <v>0</v>
      </c>
      <c r="E8" s="50" t="str">
        <f>IF(AND(1622000&lt;=試算シート!E31,試算シート!E31&lt;=1623999),1072000,"0")</f>
        <v>0</v>
      </c>
      <c r="F8" s="50" t="str">
        <f>IF(AND(1624000&lt;=試算シート!E31,試算シート!E31&lt;=1627999),1074000,"0")</f>
        <v>0</v>
      </c>
      <c r="G8" s="50" t="str">
        <f>IF(AND(1628000&lt;=試算シート!E31,試算シート!E31&lt;=1803999),QUOTIENT(試算シート!E31,4000)*4000*0.6+100000,"0")</f>
        <v>0</v>
      </c>
      <c r="H8" s="50" t="str">
        <f>IF(AND(1804000&lt;=試算シート!E31,試算シート!E31&lt;=3603999),QUOTIENT(試算シート!E31,4000)*4000*0.7-80000,"0")</f>
        <v>0</v>
      </c>
      <c r="I8" s="50" t="str">
        <f>IF(AND(3604000&lt;=試算シート!E31,試算シート!E31&lt;=6599999),QUOTIENT(試算シート!E31,4000)*4000*0.8-440000,"0")</f>
        <v>0</v>
      </c>
      <c r="J8" s="50" t="str">
        <f>IF(AND(6600000&lt;=試算シート!E31,試算シート!E31&lt;=8500000),試算シート!E31*0.9-1100000,"0")</f>
        <v>0</v>
      </c>
      <c r="K8" s="51" t="str">
        <f>IF(8500001&lt;=試算シート!E31,試算シート!E31-1950000,"0")</f>
        <v>0</v>
      </c>
      <c r="L8" s="48">
        <f t="shared" si="0"/>
        <v>0</v>
      </c>
      <c r="M8" s="49">
        <f t="shared" si="1"/>
        <v>0</v>
      </c>
    </row>
    <row r="9" spans="1:15" ht="36" thickBot="1" x14ac:dyDescent="0.45">
      <c r="A9" s="52"/>
      <c r="B9" s="53"/>
      <c r="C9" s="54"/>
      <c r="D9" s="54"/>
      <c r="E9" s="54"/>
      <c r="F9" s="54"/>
      <c r="G9" s="54"/>
      <c r="H9" s="54"/>
      <c r="I9" s="54"/>
      <c r="J9" s="54"/>
      <c r="K9" s="54"/>
      <c r="L9" s="55"/>
      <c r="M9" s="55"/>
    </row>
    <row r="10" spans="1:15" ht="36" thickBot="1" x14ac:dyDescent="0.45">
      <c r="A10" s="56" t="s">
        <v>55</v>
      </c>
      <c r="B10" s="202" t="s">
        <v>56</v>
      </c>
      <c r="C10" s="203"/>
      <c r="D10" s="203"/>
      <c r="E10" s="203"/>
      <c r="F10" s="204"/>
      <c r="G10" s="205" t="s">
        <v>57</v>
      </c>
      <c r="H10" s="203"/>
      <c r="I10" s="203"/>
      <c r="J10" s="203"/>
      <c r="K10" s="204"/>
      <c r="L10" s="200" t="s">
        <v>58</v>
      </c>
      <c r="M10" s="55"/>
      <c r="N10" s="194" t="s">
        <v>59</v>
      </c>
      <c r="O10" s="194" t="s">
        <v>60</v>
      </c>
    </row>
    <row r="11" spans="1:15" ht="36" thickBot="1" x14ac:dyDescent="0.45">
      <c r="A11" s="57" t="s">
        <v>61</v>
      </c>
      <c r="B11" s="58" t="s">
        <v>62</v>
      </c>
      <c r="C11" s="59" t="s">
        <v>63</v>
      </c>
      <c r="D11" s="60" t="s">
        <v>64</v>
      </c>
      <c r="E11" s="59" t="s">
        <v>65</v>
      </c>
      <c r="F11" s="61" t="s">
        <v>66</v>
      </c>
      <c r="G11" s="62" t="s">
        <v>67</v>
      </c>
      <c r="H11" s="59" t="s">
        <v>68</v>
      </c>
      <c r="I11" s="60" t="s">
        <v>64</v>
      </c>
      <c r="J11" s="59" t="s">
        <v>65</v>
      </c>
      <c r="K11" s="61" t="s">
        <v>66</v>
      </c>
      <c r="L11" s="201"/>
      <c r="M11" s="55"/>
      <c r="N11" s="195"/>
      <c r="O11" s="196"/>
    </row>
    <row r="12" spans="1:15" ht="36" thickBot="1" x14ac:dyDescent="0.75">
      <c r="A12" s="57" t="s">
        <v>19</v>
      </c>
      <c r="B12" s="63">
        <f>IF(AND(試算シート!D26&lt;65,試算シート!G26&lt;=1300000),MAX(試算シート!G26-600000,0),"0")</f>
        <v>0</v>
      </c>
      <c r="C12" s="64" t="str">
        <f>IF(AND(試算シート!D26&lt;65,1300001&lt;=試算シート!G26,試算シート!G26&lt;=4100000),試算シート!G26*0.75-275000,"0")</f>
        <v>0</v>
      </c>
      <c r="D12" s="64" t="str">
        <f>IF(AND(試算シート!D26&lt;65,4100001&lt;=試算シート!G26,試算シート!G26&lt;=7700000),試算シート!G26*0.85-685000,"0")</f>
        <v>0</v>
      </c>
      <c r="E12" s="64" t="str">
        <f>IF(AND(試算シート!D26&lt;65,7700001&lt;=試算シート!G26,試算シート!G26&lt;=10000000),試算シート!G26*0.95-1455000,"0")</f>
        <v>0</v>
      </c>
      <c r="F12" s="65" t="str">
        <f>IF(AND(試算シート!D26&lt;65,10000001&lt;=試算シート!G26),MAX(試算シート!G26-1955000,0),"0")</f>
        <v>0</v>
      </c>
      <c r="G12" s="66" t="str">
        <f>IF(AND(65&lt;=試算シート!D26,試算シート!G26&lt;=3300000),MAX(試算シート!G26-1100000,0),"0")</f>
        <v>0</v>
      </c>
      <c r="H12" s="64" t="str">
        <f>IF(AND(65&lt;=試算シート!D26,3300001&lt;=試算シート!G26,試算シート!G26&lt;=4100000),試算シート!G26*0.75-275000,"0")</f>
        <v>0</v>
      </c>
      <c r="I12" s="64" t="str">
        <f>IF(AND(65&lt;=試算シート!D26,4100001&lt;=試算シート!G26,試算シート!G26&lt;=7700000),試算シート!G26*0.85-685000,"0")</f>
        <v>0</v>
      </c>
      <c r="J12" s="64" t="str">
        <f>IF(AND(65&lt;=試算シート!D26,7700001&lt;=試算シート!G26,試算シート!G26&lt;=10000000),試算シート!G26*0.95-1455000,"0")</f>
        <v>0</v>
      </c>
      <c r="K12" s="65" t="str">
        <f>IF(AND(65&lt;=試算シート!D26,10000001&lt;=試算シート!G26),MAX(試算シート!G26-1955000,0),"0")</f>
        <v>0</v>
      </c>
      <c r="L12" s="67">
        <f t="shared" ref="L12:L17" si="2">SUM(B12:K12)</f>
        <v>0</v>
      </c>
      <c r="M12" s="55"/>
      <c r="N12" s="68" t="str">
        <f>IF(OR(550000&lt;=試算シート!E26,AND(試算シート!D26&lt;65,600000&lt;=試算シート!G26),AND(65&lt;=試算シート!D26,1250000&lt;=試算シート!G26)),"〇","×")</f>
        <v>×</v>
      </c>
      <c r="O12" s="69">
        <f>SUM(M3,IF(65&lt;=試算シート!D26,MAX(L12-150000,0),L12),試算シート!I26)</f>
        <v>0</v>
      </c>
    </row>
    <row r="13" spans="1:15" ht="36" thickBot="1" x14ac:dyDescent="0.75">
      <c r="A13" s="57" t="s">
        <v>50</v>
      </c>
      <c r="B13" s="63">
        <f>IF(AND(試算シート!D27&lt;65,試算シート!G27&lt;=1300000),MAX(試算シート!G27-600000,0),"0")</f>
        <v>0</v>
      </c>
      <c r="C13" s="64" t="str">
        <f>IF(AND(試算シート!D27&lt;65,1300001&lt;=試算シート!G27,試算シート!G27&lt;=4100000),試算シート!G27*0.75-275000,"0")</f>
        <v>0</v>
      </c>
      <c r="D13" s="64" t="str">
        <f>IF(AND(試算シート!D27&lt;65,4100001&lt;=試算シート!G27,試算シート!G27&lt;=7700000),試算シート!G27*0.85-685000,"0")</f>
        <v>0</v>
      </c>
      <c r="E13" s="64" t="str">
        <f>IF(AND(試算シート!D27&lt;65,7700001&lt;=試算シート!G27,試算シート!G27&lt;=10000000),試算シート!G27*0.95-1455000,"0")</f>
        <v>0</v>
      </c>
      <c r="F13" s="65" t="str">
        <f>IF(AND(試算シート!D27&lt;65,10000001&lt;=試算シート!G27),MAX(試算シート!G27-1955000,0),"0")</f>
        <v>0</v>
      </c>
      <c r="G13" s="66" t="str">
        <f>IF(AND(65&lt;=試算シート!D27,試算シート!G27&lt;=3300000),MAX(試算シート!G27-1100000,0),"0")</f>
        <v>0</v>
      </c>
      <c r="H13" s="64" t="str">
        <f>IF(AND(65&lt;=試算シート!D27,3300001&lt;=試算シート!G27,試算シート!G27&lt;=4100000),試算シート!G27*0.75-275000,"0")</f>
        <v>0</v>
      </c>
      <c r="I13" s="64" t="str">
        <f>IF(AND(65&lt;=試算シート!D27,4100001&lt;=試算シート!G27,試算シート!G27&lt;=7700000),試算シート!G27*0.85-685000,"0")</f>
        <v>0</v>
      </c>
      <c r="J13" s="64" t="str">
        <f>IF(AND(65&lt;=試算シート!D27,7700001&lt;=試算シート!G27,試算シート!G27&lt;=10000000),試算シート!G27*0.95-1455000,"0")</f>
        <v>0</v>
      </c>
      <c r="K13" s="65" t="str">
        <f>IF(AND(65&lt;=試算シート!D27,10000001&lt;=試算シート!G27),MAX(試算シート!G27-1955000,0),"0")</f>
        <v>0</v>
      </c>
      <c r="L13" s="67">
        <f t="shared" si="2"/>
        <v>0</v>
      </c>
      <c r="M13" s="55"/>
      <c r="N13" s="68" t="str">
        <f>IF(OR(550000&lt;=試算シート!E27,AND(試算シート!D27&lt;65,600000&lt;=試算シート!G27),AND(65&lt;=試算シート!D27,1250000&lt;=試算シート!G27)),"〇","×")</f>
        <v>×</v>
      </c>
      <c r="O13" s="69">
        <f>IF(試算シート!C27="〇",SUM(M4,IF(65&lt;=試算シート!D27,MAX(L13-150000,0),L13),試算シート!I27),0)</f>
        <v>0</v>
      </c>
    </row>
    <row r="14" spans="1:15" ht="36" thickBot="1" x14ac:dyDescent="0.75">
      <c r="A14" s="57" t="s">
        <v>51</v>
      </c>
      <c r="B14" s="63">
        <f>IF(AND(試算シート!D28&lt;65,試算シート!G28&lt;=1300000),MAX(試算シート!G28-600000,0),"0")</f>
        <v>0</v>
      </c>
      <c r="C14" s="64" t="str">
        <f>IF(AND(試算シート!D28&lt;65,1300001&lt;=試算シート!G28,試算シート!G28&lt;=4100000),試算シート!G28*0.75-275000,"0")</f>
        <v>0</v>
      </c>
      <c r="D14" s="64" t="str">
        <f>IF(AND(試算シート!D28&lt;65,4100001&lt;=試算シート!G28,試算シート!G28&lt;=7700000),試算シート!G28*0.85-685000,"0")</f>
        <v>0</v>
      </c>
      <c r="E14" s="64" t="str">
        <f>IF(AND(試算シート!D28&lt;65,7700001&lt;=試算シート!G28,試算シート!G28&lt;=10000000),試算シート!G28*0.95-1455000,"0")</f>
        <v>0</v>
      </c>
      <c r="F14" s="65" t="str">
        <f>IF(AND(試算シート!D28&lt;65,10000001&lt;=試算シート!G28),MAX(試算シート!G28-1955000,0),"0")</f>
        <v>0</v>
      </c>
      <c r="G14" s="66" t="str">
        <f>IF(AND(65&lt;=試算シート!D28,試算シート!G28&lt;=3300000),MAX(試算シート!G28-1100000,0),"0")</f>
        <v>0</v>
      </c>
      <c r="H14" s="64" t="str">
        <f>IF(AND(65&lt;=試算シート!D28,3300001&lt;=試算シート!G28,試算シート!G28&lt;=4100000),試算シート!G28*0.75-275000,"0")</f>
        <v>0</v>
      </c>
      <c r="I14" s="64" t="str">
        <f>IF(AND(65&lt;=試算シート!D28,4100001&lt;=試算シート!G28,試算シート!G28&lt;=7700000),試算シート!G28*0.85-685000,"0")</f>
        <v>0</v>
      </c>
      <c r="J14" s="64" t="str">
        <f>IF(AND(65&lt;=試算シート!D28,7700001&lt;=試算シート!G28,試算シート!G28&lt;=10000000),試算シート!G28*0.95-1455000,"0")</f>
        <v>0</v>
      </c>
      <c r="K14" s="65" t="str">
        <f>IF(AND(65&lt;=試算シート!D28,10000001&lt;=試算シート!G28),MAX(試算シート!G28-1955000,0),"0")</f>
        <v>0</v>
      </c>
      <c r="L14" s="67">
        <f t="shared" si="2"/>
        <v>0</v>
      </c>
      <c r="M14" s="55"/>
      <c r="N14" s="68" t="str">
        <f>IF(OR(550000&lt;=試算シート!E28,AND(試算シート!D28&lt;65,600000&lt;=試算シート!G28),AND(65&lt;=試算シート!D28,1250000&lt;=試算シート!G28)),"〇","×")</f>
        <v>×</v>
      </c>
      <c r="O14" s="69">
        <f>IF(試算シート!C28="〇",SUM(M5,IF(65&lt;=試算シート!D28,MAX(L14-150000,0),L14),試算シート!I28),0)</f>
        <v>0</v>
      </c>
    </row>
    <row r="15" spans="1:15" ht="36" thickBot="1" x14ac:dyDescent="0.75">
      <c r="A15" s="57" t="s">
        <v>52</v>
      </c>
      <c r="B15" s="63">
        <f>IF(AND(試算シート!D29&lt;65,試算シート!G29&lt;=1300000),MAX(試算シート!G29-600000,0),"0")</f>
        <v>0</v>
      </c>
      <c r="C15" s="64" t="str">
        <f>IF(AND(試算シート!D29&lt;65,1300001&lt;=試算シート!G29,試算シート!G29&lt;=4100000),試算シート!G29*0.75-275000,"0")</f>
        <v>0</v>
      </c>
      <c r="D15" s="64" t="str">
        <f>IF(AND(試算シート!D29&lt;65,4100001&lt;=試算シート!G29,試算シート!G29&lt;=7700000),試算シート!G29*0.85-685000,"0")</f>
        <v>0</v>
      </c>
      <c r="E15" s="64" t="str">
        <f>IF(AND(試算シート!D29&lt;65,7700001&lt;=試算シート!G29,試算シート!G29&lt;=10000000),試算シート!G29*0.95-1455000,"0")</f>
        <v>0</v>
      </c>
      <c r="F15" s="65" t="str">
        <f>IF(AND(試算シート!D29&lt;65,10000001&lt;=試算シート!G29),MAX(試算シート!G29-1955000,0),"0")</f>
        <v>0</v>
      </c>
      <c r="G15" s="66" t="str">
        <f>IF(AND(65&lt;=試算シート!D29,試算シート!G29&lt;=3300000),MAX(試算シート!G29-1100000,0),"0")</f>
        <v>0</v>
      </c>
      <c r="H15" s="64" t="str">
        <f>IF(AND(65&lt;=試算シート!D29,3300001&lt;=試算シート!G29,試算シート!G29&lt;=4100000),試算シート!G29*0.75-275000,"0")</f>
        <v>0</v>
      </c>
      <c r="I15" s="64" t="str">
        <f>IF(AND(65&lt;=試算シート!D29,4100001&lt;=試算シート!G29,試算シート!G29&lt;=7700000),試算シート!G29*0.85-685000,"0")</f>
        <v>0</v>
      </c>
      <c r="J15" s="64" t="str">
        <f>IF(AND(65&lt;=試算シート!D29,7700001&lt;=試算シート!G29,試算シート!G29&lt;=10000000),試算シート!G29*0.95-1455000,"0")</f>
        <v>0</v>
      </c>
      <c r="K15" s="65" t="str">
        <f>IF(AND(65&lt;=試算シート!D29,10000001&lt;=試算シート!G29),MAX(試算シート!G29-1955000,0),"0")</f>
        <v>0</v>
      </c>
      <c r="L15" s="67">
        <f t="shared" si="2"/>
        <v>0</v>
      </c>
      <c r="M15" s="55"/>
      <c r="N15" s="68" t="str">
        <f>IF(OR(550000&lt;=試算シート!E29,AND(試算シート!D29&lt;65,600000&lt;=試算シート!G29),AND(65&lt;=試算シート!D29,1250000&lt;=試算シート!G29)),"〇","×")</f>
        <v>×</v>
      </c>
      <c r="O15" s="69">
        <f>IF(試算シート!C29="〇",SUM(M6,IF(65&lt;=試算シート!D29,MAX(L15-150000,0),L15),試算シート!I29),0)</f>
        <v>0</v>
      </c>
    </row>
    <row r="16" spans="1:15" ht="36" thickBot="1" x14ac:dyDescent="0.75">
      <c r="A16" s="57" t="s">
        <v>53</v>
      </c>
      <c r="B16" s="63">
        <f>IF(AND(試算シート!D30&lt;65,試算シート!G30&lt;=1300000),MAX(試算シート!G30-600000,0),"0")</f>
        <v>0</v>
      </c>
      <c r="C16" s="64" t="str">
        <f>IF(AND(試算シート!D30&lt;65,1300001&lt;=試算シート!G30,試算シート!G30&lt;=4100000),試算シート!G30*0.75-275000,"0")</f>
        <v>0</v>
      </c>
      <c r="D16" s="64" t="str">
        <f>IF(AND(試算シート!D30&lt;65,4100001&lt;=試算シート!G30,試算シート!G30&lt;=7700000),試算シート!G30*0.85-685000,"0")</f>
        <v>0</v>
      </c>
      <c r="E16" s="64" t="str">
        <f>IF(AND(試算シート!D30&lt;65,7700001&lt;=試算シート!G30,試算シート!G30&lt;=10000000),試算シート!G30*0.95-1455000,"0")</f>
        <v>0</v>
      </c>
      <c r="F16" s="65" t="str">
        <f>IF(AND(試算シート!D30&lt;65,10000001&lt;=試算シート!G30),MAX(試算シート!G30-1955000,0),"0")</f>
        <v>0</v>
      </c>
      <c r="G16" s="66" t="str">
        <f>IF(AND(65&lt;=試算シート!D30,試算シート!G30&lt;=3300000),MAX(試算シート!G30-1100000,0),"0")</f>
        <v>0</v>
      </c>
      <c r="H16" s="64" t="str">
        <f>IF(AND(65&lt;=試算シート!D30,3300001&lt;=試算シート!G30,試算シート!G30&lt;=4100000),試算シート!G30*0.75-275000,"0")</f>
        <v>0</v>
      </c>
      <c r="I16" s="64" t="str">
        <f>IF(AND(65&lt;=試算シート!D30,4100001&lt;=試算シート!G30,試算シート!G30&lt;=7700000),試算シート!G30*0.85-685000,"0")</f>
        <v>0</v>
      </c>
      <c r="J16" s="64" t="str">
        <f>IF(AND(65&lt;=試算シート!D30,7700001&lt;=試算シート!G30,試算シート!G30&lt;=10000000),試算シート!G30*0.95-1455000,"0")</f>
        <v>0</v>
      </c>
      <c r="K16" s="65" t="str">
        <f>IF(AND(65&lt;=試算シート!D30,10000001&lt;=試算シート!G30),MAX(試算シート!G30-1955000,0),"0")</f>
        <v>0</v>
      </c>
      <c r="L16" s="67">
        <f t="shared" si="2"/>
        <v>0</v>
      </c>
      <c r="M16" s="55"/>
      <c r="N16" s="68" t="str">
        <f>IF(OR(550000&lt;=試算シート!E30,AND(試算シート!D30&lt;65,600000&lt;=試算シート!G30),AND(65&lt;=試算シート!D30,1250000&lt;=試算シート!G30)),"〇","×")</f>
        <v>×</v>
      </c>
      <c r="O16" s="69">
        <f>IF(試算シート!C30="〇",SUM(M7,IF(65&lt;=試算シート!D30,MAX(L16-150000,0),L16),試算シート!I30),0)</f>
        <v>0</v>
      </c>
    </row>
    <row r="17" spans="1:15" ht="36" thickBot="1" x14ac:dyDescent="0.75">
      <c r="A17" s="57" t="s">
        <v>54</v>
      </c>
      <c r="B17" s="70">
        <f>IF(AND(試算シート!D31&lt;65,試算シート!G31&lt;=1300000),MAX(試算シート!G31-600000,0),"0")</f>
        <v>0</v>
      </c>
      <c r="C17" s="71" t="str">
        <f>IF(AND(試算シート!D31&lt;65,1300001&lt;=試算シート!G31,試算シート!G31&lt;=4100000),試算シート!G31*0.75-275000,"0")</f>
        <v>0</v>
      </c>
      <c r="D17" s="71" t="str">
        <f>IF(AND(試算シート!D31&lt;65,4100001&lt;=試算シート!G31,試算シート!G31&lt;=7700000),試算シート!G31*0.85-685000,"0")</f>
        <v>0</v>
      </c>
      <c r="E17" s="71" t="str">
        <f>IF(AND(試算シート!D31&lt;65,7700001&lt;=試算シート!G31,試算シート!G31&lt;=10000000),試算シート!G31*0.95-1455000,"0")</f>
        <v>0</v>
      </c>
      <c r="F17" s="72" t="str">
        <f>IF(AND(試算シート!D31&lt;65,10000001&lt;=試算シート!G31),MAX(試算シート!G31-1955000,0),"0")</f>
        <v>0</v>
      </c>
      <c r="G17" s="73" t="str">
        <f>IF(AND(65&lt;=試算シート!D31,試算シート!G31&lt;=3300000),MAX(試算シート!G31-1100000,0),"0")</f>
        <v>0</v>
      </c>
      <c r="H17" s="71" t="str">
        <f>IF(AND(65&lt;=試算シート!D31,3300001&lt;=試算シート!G31,試算シート!G31&lt;=4100000),試算シート!G31*0.75-275000,"0")</f>
        <v>0</v>
      </c>
      <c r="I17" s="71" t="str">
        <f>IF(AND(65&lt;=試算シート!D31,4100001&lt;=試算シート!G31,試算シート!G31&lt;=7700000),試算シート!G31*0.85-685000,"0")</f>
        <v>0</v>
      </c>
      <c r="J17" s="71" t="str">
        <f>IF(AND(65&lt;=試算シート!D31,7700001&lt;=試算シート!G31,試算シート!G31&lt;=10000000),試算シート!G31*0.95-1455000,"0")</f>
        <v>0</v>
      </c>
      <c r="K17" s="72" t="str">
        <f>IF(AND(65&lt;=試算シート!D31,10000001&lt;=試算シート!G31),MAX(試算シート!G31-1955000,0),"0")</f>
        <v>0</v>
      </c>
      <c r="L17" s="67">
        <f t="shared" si="2"/>
        <v>0</v>
      </c>
      <c r="M17" s="55"/>
      <c r="N17" s="68" t="str">
        <f>IF(OR(550000&lt;=試算シート!E31,AND(試算シート!D31&lt;65,600000&lt;=試算シート!G31),AND(65&lt;=試算シート!D31,1250000&lt;=試算シート!G31)),"〇","×")</f>
        <v>×</v>
      </c>
      <c r="O17" s="69">
        <f>IF(試算シート!C31="〇",SUM(M8,IF(65&lt;=試算シート!D31,MAX(L17-150000,0),L17),試算シート!I31),0)</f>
        <v>0</v>
      </c>
    </row>
    <row r="18" spans="1:15" ht="36" thickBot="1" x14ac:dyDescent="0.45">
      <c r="A18" s="53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55"/>
      <c r="M18" s="55"/>
      <c r="O18" s="69">
        <f>SUM(O12:O17)</f>
        <v>0</v>
      </c>
    </row>
    <row r="25" spans="1:15" x14ac:dyDescent="0.4">
      <c r="B25" s="76"/>
      <c r="C25" s="76"/>
      <c r="D25" s="76"/>
      <c r="E25" s="76"/>
      <c r="F25" s="76"/>
      <c r="G25" s="76"/>
      <c r="H25" s="76"/>
      <c r="I25" s="76"/>
      <c r="J25" s="76"/>
      <c r="K25" s="76"/>
    </row>
  </sheetData>
  <sheetProtection sheet="1" objects="1" scenarios="1"/>
  <mergeCells count="8">
    <mergeCell ref="N10:N11"/>
    <mergeCell ref="O10:O11"/>
    <mergeCell ref="B1:K1"/>
    <mergeCell ref="L1:L2"/>
    <mergeCell ref="M1:M2"/>
    <mergeCell ref="B10:F10"/>
    <mergeCell ref="G10:K10"/>
    <mergeCell ref="L10:L11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zoomScale="60" zoomScaleNormal="60" workbookViewId="0">
      <selection activeCell="K2" sqref="K2"/>
    </sheetView>
  </sheetViews>
  <sheetFormatPr defaultRowHeight="18.75" x14ac:dyDescent="0.4"/>
  <cols>
    <col min="1" max="1" width="20.625" style="40" customWidth="1"/>
    <col min="2" max="15" width="22.625" style="40" customWidth="1"/>
    <col min="16" max="16" width="10.375" style="40" bestFit="1" customWidth="1"/>
    <col min="17" max="20" width="9" style="40"/>
    <col min="21" max="21" width="13.625" style="40" customWidth="1"/>
    <col min="22" max="16384" width="9" style="40"/>
  </cols>
  <sheetData>
    <row r="1" spans="1:29" s="78" customFormat="1" ht="71.25" thickBot="1" x14ac:dyDescent="0.75">
      <c r="A1" s="57" t="s">
        <v>69</v>
      </c>
      <c r="B1" s="56" t="s">
        <v>70</v>
      </c>
      <c r="C1" s="57" t="s">
        <v>71</v>
      </c>
      <c r="D1" s="57" t="s">
        <v>72</v>
      </c>
      <c r="E1" s="57" t="s">
        <v>73</v>
      </c>
      <c r="F1" s="57" t="s">
        <v>74</v>
      </c>
      <c r="G1" s="77"/>
      <c r="P1" s="126" t="str">
        <f>IF($C$2&lt;=0,"×",D2)</f>
        <v>×</v>
      </c>
      <c r="Q1" s="122" t="s">
        <v>103</v>
      </c>
      <c r="R1" s="124"/>
      <c r="S1" s="120"/>
      <c r="T1" s="120"/>
      <c r="U1" s="127"/>
      <c r="V1" s="120"/>
      <c r="W1" s="120"/>
      <c r="X1" s="134" t="str">
        <f>IF(P1="〇",Q1,"")</f>
        <v/>
      </c>
      <c r="Z1" s="120"/>
    </row>
    <row r="2" spans="1:29" s="78" customFormat="1" ht="36" thickBot="1" x14ac:dyDescent="0.75">
      <c r="A2" s="79" t="s">
        <v>75</v>
      </c>
      <c r="B2" s="80">
        <f>COUNTIF(所得計算!N12:N17,"〇")</f>
        <v>0</v>
      </c>
      <c r="C2" s="81">
        <f>COUNTIF(試算シート!C26:C31,"〇")</f>
        <v>0</v>
      </c>
      <c r="D2" s="136" t="str">
        <f>IF(所得計算!O18&lt;=430000+100000*MAX(保険料計算!B2-1,0),"〇","×")</f>
        <v>〇</v>
      </c>
      <c r="E2" s="136" t="str">
        <f>IF(AND(所得計算!O18&lt;=430000+305000*C2+100000*MAX(保険料計算!B2-1,0),D2="×"),"〇","×")</f>
        <v>×</v>
      </c>
      <c r="F2" s="137" t="str">
        <f>IF(AND(所得計算!O18&lt;=430000+560000*C2+100000*MAX(保険料計算!B2-1,0),D2="×",E2="×"),"〇","×")</f>
        <v>×</v>
      </c>
      <c r="G2" s="78" t="s">
        <v>76</v>
      </c>
      <c r="P2" s="126" t="str">
        <f>IF($C$2&lt;=0,"×",E2)</f>
        <v>×</v>
      </c>
      <c r="Q2" s="122" t="s">
        <v>104</v>
      </c>
      <c r="R2" s="125"/>
      <c r="S2" s="121"/>
      <c r="T2" s="121"/>
      <c r="U2" s="127"/>
      <c r="V2" s="121"/>
      <c r="W2" s="121"/>
      <c r="X2" s="134" t="str">
        <f>IF(P2="〇",Q2,"")</f>
        <v/>
      </c>
      <c r="Z2" s="121"/>
      <c r="AA2" s="121"/>
      <c r="AB2" s="121"/>
      <c r="AC2" s="121"/>
    </row>
    <row r="3" spans="1:29" s="78" customFormat="1" ht="36" customHeight="1" thickBot="1" x14ac:dyDescent="0.75">
      <c r="A3" s="82"/>
      <c r="P3" s="126" t="str">
        <f>IF($C$2&lt;=0,"×",F2)</f>
        <v>×</v>
      </c>
      <c r="Q3" s="122" t="s">
        <v>105</v>
      </c>
      <c r="R3" s="123"/>
      <c r="X3" s="134" t="str">
        <f>IF(P3="〇",Q3,"")</f>
        <v/>
      </c>
    </row>
    <row r="4" spans="1:29" ht="71.25" thickBot="1" x14ac:dyDescent="0.75">
      <c r="A4" s="57" t="s">
        <v>25</v>
      </c>
      <c r="B4" s="57" t="s">
        <v>26</v>
      </c>
      <c r="C4" s="57" t="s">
        <v>27</v>
      </c>
      <c r="D4" s="56" t="s">
        <v>77</v>
      </c>
      <c r="E4" s="56" t="s">
        <v>78</v>
      </c>
      <c r="F4" s="56" t="s">
        <v>79</v>
      </c>
      <c r="G4" s="56" t="s">
        <v>80</v>
      </c>
      <c r="H4" s="56" t="s">
        <v>81</v>
      </c>
      <c r="I4" s="56" t="s">
        <v>82</v>
      </c>
      <c r="J4" s="56" t="s">
        <v>83</v>
      </c>
      <c r="K4" s="56" t="s">
        <v>28</v>
      </c>
      <c r="L4" s="56" t="s">
        <v>84</v>
      </c>
      <c r="M4" s="56" t="s">
        <v>85</v>
      </c>
      <c r="N4" s="56" t="s">
        <v>86</v>
      </c>
      <c r="Y4" s="78"/>
    </row>
    <row r="5" spans="1:29" ht="36" thickBot="1" x14ac:dyDescent="0.45">
      <c r="A5" s="57" t="s">
        <v>19</v>
      </c>
      <c r="B5" s="83">
        <f>IF(試算シート!$C26="〇",試算シート!$K26*料率入力欄!$B$6,0)</f>
        <v>0</v>
      </c>
      <c r="C5" s="84">
        <f>IF(AND(試算シート!$C26="〇",$D$2="×",$E$2="×",$F$2="×",7&lt;=試算シート!$D26),料率入力欄!$C$6,0)</f>
        <v>0</v>
      </c>
      <c r="D5" s="85">
        <f>IF(AND(試算シート!$C26="〇",$D$2="〇",7&lt;=試算シート!$D26),料率入力欄!$C$6-料率入力欄!$J$5,0)</f>
        <v>0</v>
      </c>
      <c r="E5" s="85">
        <f>IF(AND(試算シート!$C26="〇",$E$2="〇",7&lt;=試算シート!$D26),料率入力欄!$C$6-料率入力欄!$J$4,0)</f>
        <v>0</v>
      </c>
      <c r="F5" s="86">
        <f>IF(AND(試算シート!$C26="〇",$F$2="〇",7&lt;=試算シート!$D26),料率入力欄!$C$6-料率入力欄!$J$3,0)</f>
        <v>0</v>
      </c>
      <c r="G5" s="84">
        <f>IF(AND(試算シート!$C26="〇",$D$2="×",$E$2="×",$F$2="×",試算シート!$D26&lt;=6),料率入力欄!$C$6-料率入力欄!$D$6,0)</f>
        <v>0</v>
      </c>
      <c r="H5" s="85">
        <f>IF(AND(試算シート!$C26="〇",$D$2="〇",試算シート!$D26&lt;=6),料率入力欄!$C$6-料率入力欄!$J$5-料率入力欄!$K$5,0)</f>
        <v>0</v>
      </c>
      <c r="I5" s="85">
        <f>IF(AND(試算シート!$C26="〇",$E$2="〇",試算シート!$D26&lt;=6),料率入力欄!$C$6-料率入力欄!$J$4-料率入力欄!$K$4,0)</f>
        <v>0</v>
      </c>
      <c r="J5" s="86">
        <f>IF(AND(試算シート!$C26="〇",$F$2="〇",試算シート!$D26&lt;=6),料率入力欄!$C$6-料率入力欄!$J$3-料率入力欄!$K$3,0)</f>
        <v>0</v>
      </c>
      <c r="K5" s="87">
        <f>IF(AND($D$2="×",$E$2="×",$F$2="×"),料率入力欄!$E$6,0)</f>
        <v>0</v>
      </c>
      <c r="L5" s="88">
        <f>IF(AND(OR(試算シート!C26="〇",試算シート!C27="〇",試算シート!C28="〇",試算シート!C29="〇",試算シート!C30="〇",試算シート!C31="〇",),D2="〇"),料率入力欄!$E$6-料率入力欄!$L$5,0)</f>
        <v>0</v>
      </c>
      <c r="M5" s="88">
        <f>IF(AND(OR(試算シート!C26="〇",試算シート!C27="〇",試算シート!C28="〇",試算シート!C29="〇",試算シート!C30="〇",試算シート!C31="〇",),E2="〇"),料率入力欄!$E$6-料率入力欄!$L$4,0)</f>
        <v>0</v>
      </c>
      <c r="N5" s="89">
        <f>IF(AND(OR(試算シート!C26="〇",試算シート!C27="〇",試算シート!C28="〇",試算シート!C29="〇",試算シート!C30="〇",試算シート!C31="〇",),F2="〇"),料率入力欄!$E$6-料率入力欄!$L$3,0)</f>
        <v>0</v>
      </c>
      <c r="P5" s="128"/>
      <c r="X5" s="135" t="str">
        <f>CONCATENATE(X1,X2,X3)</f>
        <v/>
      </c>
    </row>
    <row r="6" spans="1:29" ht="36" thickBot="1" x14ac:dyDescent="0.45">
      <c r="A6" s="57" t="s">
        <v>50</v>
      </c>
      <c r="B6" s="83">
        <f>IF(試算シート!$C27="〇",試算シート!$K27*料率入力欄!$B$6,0)</f>
        <v>0</v>
      </c>
      <c r="C6" s="84">
        <f>IF(AND(試算シート!$C27="〇",$D$2="×",$E$2="×",$F$2="×",7&lt;=試算シート!$D27),料率入力欄!$C$6,0)</f>
        <v>0</v>
      </c>
      <c r="D6" s="85">
        <f>IF(AND(試算シート!$C27="〇",$D$2="〇",7&lt;=試算シート!$D27),料率入力欄!$C$6-料率入力欄!$J$5,0)</f>
        <v>0</v>
      </c>
      <c r="E6" s="85">
        <f>IF(AND(試算シート!$C27="〇",$E$2="〇",7&lt;=試算シート!$D27),料率入力欄!$C$6-料率入力欄!$J$4,0)</f>
        <v>0</v>
      </c>
      <c r="F6" s="86">
        <f>IF(AND(試算シート!$C27="〇",$F$2="〇",7&lt;=試算シート!$D27),料率入力欄!$C$6-料率入力欄!$J$3,0)</f>
        <v>0</v>
      </c>
      <c r="G6" s="84">
        <f>IF(AND(試算シート!$C27="〇",$D$2="×",$E$2="×",$F$2="×",試算シート!$D27&lt;=6),料率入力欄!$C$6-料率入力欄!$D$6,0)</f>
        <v>0</v>
      </c>
      <c r="H6" s="85">
        <f>IF(AND(試算シート!$C27="〇",$D$2="〇",試算シート!$D27&lt;=6),料率入力欄!$C$6-料率入力欄!$J$5-料率入力欄!$K$5,0)</f>
        <v>0</v>
      </c>
      <c r="I6" s="85">
        <f>IF(AND(試算シート!$C27="〇",$E$2="〇",試算シート!$D27&lt;=6),料率入力欄!$C$6-料率入力欄!$J$4-料率入力欄!$K$4,0)</f>
        <v>0</v>
      </c>
      <c r="J6" s="86">
        <f>IF(AND(試算シート!$C27="〇",$F$2="〇",試算シート!$D27&lt;=6),料率入力欄!$C$6-料率入力欄!$J$3-料率入力欄!$K$3,0)</f>
        <v>0</v>
      </c>
      <c r="K6" s="90"/>
      <c r="L6" s="90"/>
      <c r="M6" s="90"/>
      <c r="N6" s="90"/>
    </row>
    <row r="7" spans="1:29" ht="36" thickBot="1" x14ac:dyDescent="0.45">
      <c r="A7" s="57" t="s">
        <v>51</v>
      </c>
      <c r="B7" s="83">
        <f>IF(試算シート!$C28="〇",試算シート!$K28*料率入力欄!$B$6,0)</f>
        <v>0</v>
      </c>
      <c r="C7" s="84">
        <f>IF(AND(試算シート!$C28="〇",$D$2="×",$E$2="×",$F$2="×",7&lt;=試算シート!$D28),料率入力欄!$C$6,0)</f>
        <v>0</v>
      </c>
      <c r="D7" s="85">
        <f>IF(AND(試算シート!$C28="〇",$D$2="〇",7&lt;=試算シート!$D28),料率入力欄!$C$6-料率入力欄!$J$5,0)</f>
        <v>0</v>
      </c>
      <c r="E7" s="85">
        <f>IF(AND(試算シート!$C28="〇",$E$2="〇",7&lt;=試算シート!$D28),料率入力欄!$C$6-料率入力欄!$J$4,0)</f>
        <v>0</v>
      </c>
      <c r="F7" s="86">
        <f>IF(AND(試算シート!$C28="〇",$F$2="〇",7&lt;=試算シート!$D28),料率入力欄!$C$6-料率入力欄!$J$3,0)</f>
        <v>0</v>
      </c>
      <c r="G7" s="84">
        <f>IF(AND(試算シート!$C28="〇",$D$2="×",$E$2="×",$F$2="×",試算シート!$D28&lt;=6),料率入力欄!$C$6-料率入力欄!$D$6,0)</f>
        <v>0</v>
      </c>
      <c r="H7" s="85">
        <f>IF(AND(試算シート!$C28="〇",$D$2="〇",試算シート!$D28&lt;=6),料率入力欄!$C$6-料率入力欄!$J$5-料率入力欄!$K$5,0)</f>
        <v>0</v>
      </c>
      <c r="I7" s="85">
        <f>IF(AND(試算シート!$C28="〇",$E$2="〇",試算シート!$D28&lt;=6),料率入力欄!$C$6-料率入力欄!$J$4-料率入力欄!$K$4,0)</f>
        <v>0</v>
      </c>
      <c r="J7" s="86">
        <f>IF(AND(試算シート!$C28="〇",$F$2="〇",試算シート!$D28&lt;=6),料率入力欄!$C$6-料率入力欄!$J$3-料率入力欄!$K$3,0)</f>
        <v>0</v>
      </c>
      <c r="K7" s="90"/>
      <c r="L7" s="90"/>
      <c r="M7" s="90"/>
      <c r="N7" s="90"/>
    </row>
    <row r="8" spans="1:29" ht="36" thickBot="1" x14ac:dyDescent="0.45">
      <c r="A8" s="57" t="s">
        <v>52</v>
      </c>
      <c r="B8" s="83">
        <f>IF(試算シート!$C29="〇",試算シート!$K29*料率入力欄!$B$6,0)</f>
        <v>0</v>
      </c>
      <c r="C8" s="84">
        <f>IF(AND(試算シート!$C29="〇",$D$2="×",$E$2="×",$F$2="×",7&lt;=試算シート!$D29),料率入力欄!$C$6,0)</f>
        <v>0</v>
      </c>
      <c r="D8" s="85">
        <f>IF(AND(試算シート!$C29="〇",$D$2="〇",7&lt;=試算シート!$D29),料率入力欄!$C$6-料率入力欄!$J$5,0)</f>
        <v>0</v>
      </c>
      <c r="E8" s="85">
        <f>IF(AND(試算シート!$C29="〇",$E$2="〇",7&lt;=試算シート!$D29),料率入力欄!$C$6-料率入力欄!$J$4,0)</f>
        <v>0</v>
      </c>
      <c r="F8" s="86">
        <f>IF(AND(試算シート!$C29="〇",$F$2="〇",7&lt;=試算シート!$D29),料率入力欄!$C$6-料率入力欄!$J$3,0)</f>
        <v>0</v>
      </c>
      <c r="G8" s="84">
        <f>IF(AND(試算シート!$C29="〇",$D$2="×",$E$2="×",$F$2="×",試算シート!$D29&lt;=6),料率入力欄!$C$6-料率入力欄!$D$6,0)</f>
        <v>0</v>
      </c>
      <c r="H8" s="85">
        <f>IF(AND(試算シート!$C29="〇",$D$2="〇",試算シート!$D29&lt;=6),料率入力欄!$C$6-料率入力欄!$J$5-料率入力欄!$K$5,0)</f>
        <v>0</v>
      </c>
      <c r="I8" s="85">
        <f>IF(AND(試算シート!$C29="〇",$E$2="〇",試算シート!$D29&lt;=6),料率入力欄!$C$6-料率入力欄!$J$4-料率入力欄!$K$4,0)</f>
        <v>0</v>
      </c>
      <c r="J8" s="86">
        <f>IF(AND(試算シート!$C29="〇",$F$2="〇",試算シート!$D29&lt;=6),料率入力欄!$C$6-料率入力欄!$J$3-料率入力欄!$K$3,0)</f>
        <v>0</v>
      </c>
      <c r="K8" s="90"/>
      <c r="L8" s="90"/>
      <c r="M8" s="90"/>
      <c r="N8" s="90"/>
    </row>
    <row r="9" spans="1:29" ht="36" thickBot="1" x14ac:dyDescent="0.45">
      <c r="A9" s="57" t="s">
        <v>53</v>
      </c>
      <c r="B9" s="83">
        <f>IF(試算シート!$C30="〇",試算シート!$K30*料率入力欄!$B$6,0)</f>
        <v>0</v>
      </c>
      <c r="C9" s="84">
        <f>IF(AND(試算シート!$C30="〇",$D$2="×",$E$2="×",$F$2="×",7&lt;=試算シート!$D30),料率入力欄!$C$6,0)</f>
        <v>0</v>
      </c>
      <c r="D9" s="85">
        <f>IF(AND(試算シート!$C30="〇",$D$2="〇",7&lt;=試算シート!$D30),料率入力欄!$C$6-料率入力欄!$J$5,0)</f>
        <v>0</v>
      </c>
      <c r="E9" s="85">
        <f>IF(AND(試算シート!$C30="〇",$E$2="〇",7&lt;=試算シート!$D30),料率入力欄!$C$6-料率入力欄!$J$4,0)</f>
        <v>0</v>
      </c>
      <c r="F9" s="86">
        <f>IF(AND(試算シート!$C30="〇",$F$2="〇",7&lt;=試算シート!$D30),料率入力欄!$C$6-料率入力欄!$J$3,0)</f>
        <v>0</v>
      </c>
      <c r="G9" s="84">
        <f>IF(AND(試算シート!$C30="〇",$D$2="×",$E$2="×",$F$2="×",試算シート!$D30&lt;=6),料率入力欄!$C$6-料率入力欄!$D$6,0)</f>
        <v>0</v>
      </c>
      <c r="H9" s="85">
        <f>IF(AND(試算シート!$C30="〇",$D$2="〇",試算シート!$D30&lt;=6),料率入力欄!$C$6-料率入力欄!$J$5-料率入力欄!$K$5,0)</f>
        <v>0</v>
      </c>
      <c r="I9" s="85">
        <f>IF(AND(試算シート!$C30="〇",$E$2="〇",試算シート!$D30&lt;=6),料率入力欄!$C$6-料率入力欄!$J$4-料率入力欄!$K$4,0)</f>
        <v>0</v>
      </c>
      <c r="J9" s="86">
        <f>IF(AND(試算シート!$C30="〇",$F$2="〇",試算シート!$D30&lt;=6),料率入力欄!$C$6-料率入力欄!$J$3-料率入力欄!$K$3,0)</f>
        <v>0</v>
      </c>
      <c r="K9" s="90"/>
      <c r="L9" s="90"/>
      <c r="M9" s="90"/>
      <c r="N9" s="90"/>
    </row>
    <row r="10" spans="1:29" ht="36" thickBot="1" x14ac:dyDescent="0.45">
      <c r="A10" s="57" t="s">
        <v>54</v>
      </c>
      <c r="B10" s="108">
        <f>IF(試算シート!$C31="〇",試算シート!$K31*料率入力欄!$B$6,0)</f>
        <v>0</v>
      </c>
      <c r="C10" s="87">
        <f>IF(AND(試算シート!$C31="〇",$D$2="×",$E$2="×",$F$2="×",7&lt;=試算シート!$D31),料率入力欄!$C$6,0)</f>
        <v>0</v>
      </c>
      <c r="D10" s="88">
        <f>IF(AND(試算シート!$C31="〇",$D$2="〇",7&lt;=試算シート!$D31),料率入力欄!$C$6-料率入力欄!$J$5,0)</f>
        <v>0</v>
      </c>
      <c r="E10" s="88">
        <f>IF(AND(試算シート!$C31="〇",$E$2="〇",7&lt;=試算シート!$D31),料率入力欄!$C$6-料率入力欄!$J$4,0)</f>
        <v>0</v>
      </c>
      <c r="F10" s="89">
        <f>IF(AND(試算シート!$C31="〇",$F$2="〇",7&lt;=試算シート!$D31),料率入力欄!$C$6-料率入力欄!$J$3,0)</f>
        <v>0</v>
      </c>
      <c r="G10" s="87">
        <f>IF(AND(試算シート!$C31="〇",$D$2="×",$E$2="×",$F$2="×",試算シート!$D31&lt;=6),料率入力欄!$C$6-料率入力欄!$D$6,0)</f>
        <v>0</v>
      </c>
      <c r="H10" s="88">
        <f>IF(AND(試算シート!$C31="〇",$D$2="〇",試算シート!$D31&lt;=6),料率入力欄!$C$6-料率入力欄!$J$5-料率入力欄!$K$5,0)</f>
        <v>0</v>
      </c>
      <c r="I10" s="88">
        <f>IF(AND(試算シート!$C31="〇",$E$2="〇",試算シート!$D31&lt;=6),料率入力欄!$C$6-料率入力欄!$J$4-料率入力欄!$K$4,0)</f>
        <v>0</v>
      </c>
      <c r="J10" s="89">
        <f>IF(AND(試算シート!$C31="〇",$F$2="〇",試算シート!$D31&lt;=6),料率入力欄!$C$6-料率入力欄!$J$3-料率入力欄!$K$3,0)</f>
        <v>0</v>
      </c>
      <c r="K10" s="90"/>
      <c r="L10" s="90"/>
      <c r="M10" s="90"/>
      <c r="N10" s="90"/>
    </row>
    <row r="11" spans="1:29" ht="19.5" thickBot="1" x14ac:dyDescent="0.45"/>
    <row r="12" spans="1:29" ht="71.25" thickBot="1" x14ac:dyDescent="0.45">
      <c r="A12" s="57" t="s">
        <v>87</v>
      </c>
      <c r="B12" s="57" t="s">
        <v>26</v>
      </c>
      <c r="C12" s="57" t="s">
        <v>27</v>
      </c>
      <c r="D12" s="56" t="s">
        <v>77</v>
      </c>
      <c r="E12" s="56" t="s">
        <v>78</v>
      </c>
      <c r="F12" s="56" t="s">
        <v>79</v>
      </c>
      <c r="G12" s="56" t="s">
        <v>80</v>
      </c>
      <c r="H12" s="56" t="s">
        <v>81</v>
      </c>
      <c r="I12" s="56" t="s">
        <v>82</v>
      </c>
      <c r="J12" s="56" t="s">
        <v>83</v>
      </c>
      <c r="K12" s="56" t="s">
        <v>28</v>
      </c>
      <c r="L12" s="56" t="s">
        <v>84</v>
      </c>
      <c r="M12" s="56" t="s">
        <v>85</v>
      </c>
      <c r="N12" s="56" t="s">
        <v>86</v>
      </c>
    </row>
    <row r="13" spans="1:29" ht="36" thickBot="1" x14ac:dyDescent="0.45">
      <c r="A13" s="57" t="s">
        <v>19</v>
      </c>
      <c r="B13" s="109">
        <f>IF(試算シート!$C26="〇",試算シート!$K26*料率入力欄!$B$7,0)</f>
        <v>0</v>
      </c>
      <c r="C13" s="110">
        <f>IF(AND(試算シート!$C26="〇",$D$2="×",$E$2="×",$F$2="×",7&lt;=試算シート!$D26),料率入力欄!$C$7,0)</f>
        <v>0</v>
      </c>
      <c r="D13" s="111">
        <f>IF(AND(試算シート!$C26="〇",$D$2="〇",7&lt;=試算シート!$D26),料率入力欄!$C$7-料率入力欄!$J$8,0)</f>
        <v>0</v>
      </c>
      <c r="E13" s="111">
        <f>IF(AND(試算シート!$C26="〇",$E$2="〇",7&lt;=試算シート!$D26),料率入力欄!$C$7-料率入力欄!J$7,0)</f>
        <v>0</v>
      </c>
      <c r="F13" s="112">
        <f>IF(AND(試算シート!$C26="〇",$F$2="〇",7&lt;=試算シート!$D26),料率入力欄!$C$7-料率入力欄!$J$6,0)</f>
        <v>0</v>
      </c>
      <c r="G13" s="110">
        <f>IF(AND(試算シート!$C26="〇",$D$2="×",$E$2="×",$F$2="×",試算シート!$D26&lt;=6), 料率入力欄!$C$7-料率入力欄!$D$7,0)</f>
        <v>0</v>
      </c>
      <c r="H13" s="111">
        <f>IF(AND(試算シート!$C26="〇",$D$2="〇",試算シート!$D26&lt;=6),料率入力欄!$C$7-料率入力欄!$J$8-料率入力欄!$K$8,0)</f>
        <v>0</v>
      </c>
      <c r="I13" s="111">
        <f>IF(AND(試算シート!$C26="〇",$E$2="〇",試算シート!$D26&lt;=6),料率入力欄!$C$7-料率入力欄!$J$7-料率入力欄!$K$7,0)</f>
        <v>0</v>
      </c>
      <c r="J13" s="112">
        <f>IF(AND(試算シート!$C26="〇",$F$2="〇",試算シート!$D26&lt;=6),料率入力欄!$C$7-料率入力欄!$J$6-料率入力欄!$K$6,0)</f>
        <v>0</v>
      </c>
      <c r="K13" s="114">
        <f>IF(AND($D$2="×",$E$2="×",$F$2="×"),料率入力欄!$E$7,0)</f>
        <v>0</v>
      </c>
      <c r="L13" s="115">
        <f>IF(AND(OR(試算シート!C26="〇",試算シート!C27="〇",試算シート!C28="〇",試算シート!C29="〇",試算シート!C30="〇",試算シート!C31="〇",),D2="〇"),料率入力欄!$E$7-料率入力欄!$L$8,0)</f>
        <v>0</v>
      </c>
      <c r="M13" s="115">
        <f>IF(AND(OR(試算シート!C26="〇",試算シート!C27="〇",試算シート!C28="〇",試算シート!C29="〇",試算シート!C30="〇",試算シート!C31="〇",),E2="〇"),料率入力欄!$E$7-料率入力欄!$L$7,0)</f>
        <v>0</v>
      </c>
      <c r="N13" s="116">
        <f>IF(AND(OR(試算シート!C26="〇",試算シート!C27="〇",試算シート!C28="〇",試算シート!C29="〇",試算シート!C30="〇",試算シート!C31="〇",),F2="〇"),料率入力欄!$E$7-料率入力欄!$L$6,0)</f>
        <v>0</v>
      </c>
    </row>
    <row r="14" spans="1:29" ht="36" thickBot="1" x14ac:dyDescent="0.45">
      <c r="A14" s="57" t="s">
        <v>50</v>
      </c>
      <c r="B14" s="109">
        <f>IF(試算シート!$C27="〇",試算シート!$K27*料率入力欄!$B$7,0)</f>
        <v>0</v>
      </c>
      <c r="C14" s="110">
        <f>IF(AND(試算シート!$C27="〇",$D$2="×",$E$2="×",$F$2="×",7&lt;=試算シート!$D27),料率入力欄!$C$7,0)</f>
        <v>0</v>
      </c>
      <c r="D14" s="111">
        <f>IF(AND(試算シート!$C27="〇",$D$2="〇",7&lt;=試算シート!$D27),料率入力欄!$C$7-料率入力欄!$J$8,0)</f>
        <v>0</v>
      </c>
      <c r="E14" s="111">
        <f>IF(AND(試算シート!$C27="〇",$E$2="〇",7&lt;=試算シート!$D27),料率入力欄!$C$7-料率入力欄!J$7,0)</f>
        <v>0</v>
      </c>
      <c r="F14" s="112">
        <f>IF(AND(試算シート!$C27="〇",$F$2="〇",7&lt;=試算シート!$D27),料率入力欄!$C$7-料率入力欄!$J$6,0)</f>
        <v>0</v>
      </c>
      <c r="G14" s="110">
        <f>IF(AND(試算シート!$C27="〇",$D$2="×",$E$2="×",$F$2="×",試算シート!$D27&lt;=6), 料率入力欄!$C$7-料率入力欄!$D$7,0)</f>
        <v>0</v>
      </c>
      <c r="H14" s="111">
        <f>IF(AND(試算シート!$C27="〇",$D$2="〇",試算シート!$D27&lt;=6),料率入力欄!$C$7-料率入力欄!$J$8-料率入力欄!$K$8,0)</f>
        <v>0</v>
      </c>
      <c r="I14" s="111">
        <f>IF(AND(試算シート!$C27="〇",$E$2="〇",試算シート!$D27&lt;=6),料率入力欄!$C$7-料率入力欄!$J$7-料率入力欄!$K$7,0)</f>
        <v>0</v>
      </c>
      <c r="J14" s="112">
        <f>IF(AND(試算シート!$C27="〇",$F$2="〇",試算シート!$D27&lt;=6),料率入力欄!$C$7-料率入力欄!$J$6-料率入力欄!$K$6,0)</f>
        <v>0</v>
      </c>
      <c r="K14" s="90"/>
      <c r="L14" s="90"/>
      <c r="M14" s="90"/>
      <c r="N14" s="90"/>
    </row>
    <row r="15" spans="1:29" ht="36" thickBot="1" x14ac:dyDescent="0.45">
      <c r="A15" s="57" t="s">
        <v>51</v>
      </c>
      <c r="B15" s="109">
        <f>IF(試算シート!$C28="〇",試算シート!$K28*料率入力欄!$B$7,0)</f>
        <v>0</v>
      </c>
      <c r="C15" s="110">
        <f>IF(AND(試算シート!$C28="〇",$D$2="×",$E$2="×",$F$2="×",7&lt;=試算シート!$D28),料率入力欄!$C$7,0)</f>
        <v>0</v>
      </c>
      <c r="D15" s="111">
        <f>IF(AND(試算シート!$C28="〇",$D$2="〇",7&lt;=試算シート!$D28),料率入力欄!$C$7-料率入力欄!$J$8,0)</f>
        <v>0</v>
      </c>
      <c r="E15" s="111">
        <f>IF(AND(試算シート!$C28="〇",$E$2="〇",7&lt;=試算シート!$D28),料率入力欄!$C$7-料率入力欄!J$7,0)</f>
        <v>0</v>
      </c>
      <c r="F15" s="112">
        <f>IF(AND(試算シート!$C28="〇",$F$2="〇",7&lt;=試算シート!$D28),料率入力欄!$C$7-料率入力欄!$J$6,0)</f>
        <v>0</v>
      </c>
      <c r="G15" s="110">
        <f>IF(AND(試算シート!$C28="〇",$D$2="×",$E$2="×",$F$2="×",試算シート!$D28&lt;=6), 料率入力欄!$C$7-料率入力欄!$D$7,0)</f>
        <v>0</v>
      </c>
      <c r="H15" s="111">
        <f>IF(AND(試算シート!$C28="〇",$D$2="〇",試算シート!$D28&lt;=6),料率入力欄!$C$7-料率入力欄!$J$8-料率入力欄!$K$8,0)</f>
        <v>0</v>
      </c>
      <c r="I15" s="111">
        <f>IF(AND(試算シート!$C28="〇",$E$2="〇",試算シート!$D28&lt;=6),料率入力欄!$C$7-料率入力欄!$J$7-料率入力欄!$K$7,0)</f>
        <v>0</v>
      </c>
      <c r="J15" s="112">
        <f>IF(AND(試算シート!$C28="〇",$F$2="〇",試算シート!$D28&lt;=6),料率入力欄!$C$7-料率入力欄!$J$6-料率入力欄!$K$6,0)</f>
        <v>0</v>
      </c>
      <c r="K15" s="90"/>
      <c r="L15" s="90"/>
      <c r="M15" s="90"/>
      <c r="N15" s="90"/>
    </row>
    <row r="16" spans="1:29" ht="36" thickBot="1" x14ac:dyDescent="0.45">
      <c r="A16" s="57" t="s">
        <v>52</v>
      </c>
      <c r="B16" s="109">
        <f>IF(試算シート!$C29="〇",試算シート!$K29*料率入力欄!$B$7,0)</f>
        <v>0</v>
      </c>
      <c r="C16" s="110">
        <f>IF(AND(試算シート!$C29="〇",$D$2="×",$E$2="×",$F$2="×",7&lt;=試算シート!$D29),料率入力欄!$C$7,0)</f>
        <v>0</v>
      </c>
      <c r="D16" s="111">
        <f>IF(AND(試算シート!$C29="〇",$D$2="〇",7&lt;=試算シート!$D29),料率入力欄!$C$7-料率入力欄!$J$8,0)</f>
        <v>0</v>
      </c>
      <c r="E16" s="111">
        <f>IF(AND(試算シート!$C29="〇",$E$2="〇",7&lt;=試算シート!$D29),料率入力欄!$C$7-料率入力欄!J$7,0)</f>
        <v>0</v>
      </c>
      <c r="F16" s="112">
        <f>IF(AND(試算シート!$C29="〇",$F$2="〇",7&lt;=試算シート!$D29),料率入力欄!$C$7-料率入力欄!$J$6,0)</f>
        <v>0</v>
      </c>
      <c r="G16" s="110">
        <f>IF(AND(試算シート!$C29="〇",$D$2="×",$E$2="×",$F$2="×",試算シート!$D29&lt;=6), 料率入力欄!$C$7-料率入力欄!$D$7,0)</f>
        <v>0</v>
      </c>
      <c r="H16" s="111">
        <f>IF(AND(試算シート!$C29="〇",$D$2="〇",試算シート!$D29&lt;=6),料率入力欄!$C$7-料率入力欄!$J$8-料率入力欄!$K$8,0)</f>
        <v>0</v>
      </c>
      <c r="I16" s="111">
        <f>IF(AND(試算シート!$C29="〇",$E$2="〇",試算シート!$D29&lt;=6),料率入力欄!$C$7-料率入力欄!$J$7-料率入力欄!$K$7,0)</f>
        <v>0</v>
      </c>
      <c r="J16" s="112">
        <f>IF(AND(試算シート!$C29="〇",$F$2="〇",試算シート!$D29&lt;=6),料率入力欄!$C$7-料率入力欄!$J$6-料率入力欄!$K$6,0)</f>
        <v>0</v>
      </c>
      <c r="K16" s="90"/>
      <c r="L16" s="90"/>
      <c r="M16" s="90"/>
      <c r="N16" s="90"/>
    </row>
    <row r="17" spans="1:14" ht="36" thickBot="1" x14ac:dyDescent="0.45">
      <c r="A17" s="57" t="s">
        <v>53</v>
      </c>
      <c r="B17" s="109">
        <f>IF(試算シート!$C30="〇",試算シート!$K30*料率入力欄!$B$7,0)</f>
        <v>0</v>
      </c>
      <c r="C17" s="110">
        <f>IF(AND(試算シート!$C30="〇",$D$2="×",$E$2="×",$F$2="×",7&lt;=試算シート!$D30),料率入力欄!$C$7,0)</f>
        <v>0</v>
      </c>
      <c r="D17" s="111">
        <f>IF(AND(試算シート!$C30="〇",$D$2="〇",7&lt;=試算シート!$D30),料率入力欄!$C$7-料率入力欄!$J$8,0)</f>
        <v>0</v>
      </c>
      <c r="E17" s="111">
        <f>IF(AND(試算シート!$C30="〇",$E$2="〇",7&lt;=試算シート!$D30),料率入力欄!$C$7-料率入力欄!J$7,0)</f>
        <v>0</v>
      </c>
      <c r="F17" s="112">
        <f>IF(AND(試算シート!$C30="〇",$F$2="〇",7&lt;=試算シート!$D30),料率入力欄!$C$7-料率入力欄!$J$6,0)</f>
        <v>0</v>
      </c>
      <c r="G17" s="110">
        <f>IF(AND(試算シート!$C30="〇",$D$2="×",$E$2="×",$F$2="×",試算シート!$D30&lt;=6), 料率入力欄!$C$7-料率入力欄!$D$7,0)</f>
        <v>0</v>
      </c>
      <c r="H17" s="111">
        <f>IF(AND(試算シート!$C30="〇",$D$2="〇",試算シート!$D30&lt;=6),料率入力欄!$C$7-料率入力欄!$J$8-料率入力欄!$K$8,0)</f>
        <v>0</v>
      </c>
      <c r="I17" s="111">
        <f>IF(AND(試算シート!$C30="〇",$E$2="〇",試算シート!$D30&lt;=6),料率入力欄!$C$7-料率入力欄!$J$7-料率入力欄!$K$7,0)</f>
        <v>0</v>
      </c>
      <c r="J17" s="112">
        <f>IF(AND(試算シート!$C30="〇",$F$2="〇",試算シート!$D30&lt;=6),料率入力欄!$C$7-料率入力欄!$J$6-料率入力欄!$K$6,0)</f>
        <v>0</v>
      </c>
      <c r="K17" s="90"/>
      <c r="L17" s="90"/>
      <c r="M17" s="90"/>
      <c r="N17" s="90"/>
    </row>
    <row r="18" spans="1:14" ht="36" thickBot="1" x14ac:dyDescent="0.45">
      <c r="A18" s="57" t="s">
        <v>54</v>
      </c>
      <c r="B18" s="113">
        <f>IF(試算シート!$C31="〇",試算シート!$K31*料率入力欄!$B$7,0)</f>
        <v>0</v>
      </c>
      <c r="C18" s="114">
        <f>IF(AND(試算シート!$C31="〇",$D$2="×",$E$2="×",$F$2="×",7&lt;=試算シート!$D31),料率入力欄!$C$7,0)</f>
        <v>0</v>
      </c>
      <c r="D18" s="115">
        <f>IF(AND(試算シート!$C31="〇",$D$2="〇",7&lt;=試算シート!$D31),料率入力欄!$C$7-料率入力欄!$J$8,0)</f>
        <v>0</v>
      </c>
      <c r="E18" s="115">
        <f>IF(AND(試算シート!$C31="〇",$E$2="〇",7&lt;=試算シート!$D31),料率入力欄!$C$7-料率入力欄!J$7,0)</f>
        <v>0</v>
      </c>
      <c r="F18" s="116">
        <f>IF(AND(試算シート!$C31="〇",$F$2="〇",7&lt;=試算シート!$D31),料率入力欄!$C$7-料率入力欄!$J$6,0)</f>
        <v>0</v>
      </c>
      <c r="G18" s="114">
        <f>IF(AND(試算シート!$C31="〇",$D$2="×",$E$2="×",$F$2="×",試算シート!$D31&lt;=6), 料率入力欄!$C$7-料率入力欄!$D$7,0)</f>
        <v>0</v>
      </c>
      <c r="H18" s="115">
        <f>IF(AND(試算シート!$C31="〇",$D$2="〇",試算シート!$D31&lt;=6),料率入力欄!$C$7-料率入力欄!$J$8-料率入力欄!$K$8,0)</f>
        <v>0</v>
      </c>
      <c r="I18" s="115">
        <f>IF(AND(試算シート!$C31="〇",$E$2="〇",試算シート!$D31&lt;=6),料率入力欄!$C$7-料率入力欄!$J$7-料率入力欄!$K$7,0)</f>
        <v>0</v>
      </c>
      <c r="J18" s="116">
        <f>IF(AND(試算シート!$C31="〇",$F$2="〇",試算シート!$D31&lt;=6),料率入力欄!$C$7-料率入力欄!$J$6-料率入力欄!$K$6,0)</f>
        <v>0</v>
      </c>
      <c r="K18" s="90"/>
      <c r="L18" s="90"/>
      <c r="M18" s="90"/>
      <c r="N18" s="90"/>
    </row>
    <row r="19" spans="1:14" ht="19.5" thickBot="1" x14ac:dyDescent="0.45"/>
    <row r="20" spans="1:14" ht="71.25" thickBot="1" x14ac:dyDescent="0.45">
      <c r="A20" s="57" t="s">
        <v>88</v>
      </c>
      <c r="B20" s="57" t="s">
        <v>26</v>
      </c>
      <c r="C20" s="57" t="s">
        <v>27</v>
      </c>
      <c r="D20" s="56" t="s">
        <v>77</v>
      </c>
      <c r="E20" s="56" t="s">
        <v>78</v>
      </c>
      <c r="F20" s="56" t="s">
        <v>79</v>
      </c>
      <c r="G20" s="56" t="s">
        <v>28</v>
      </c>
      <c r="H20" s="56" t="s">
        <v>84</v>
      </c>
      <c r="I20" s="56" t="s">
        <v>85</v>
      </c>
      <c r="J20" s="56" t="s">
        <v>86</v>
      </c>
    </row>
    <row r="21" spans="1:14" ht="36" thickBot="1" x14ac:dyDescent="0.45">
      <c r="A21" s="57" t="s">
        <v>19</v>
      </c>
      <c r="B21" s="109">
        <f>IF(AND(試算シート!$C26="〇",40&lt;=試算シート!$D26,試算シート!$D26&lt;65),試算シート!$K26*料率入力欄!$B$8,0)</f>
        <v>0</v>
      </c>
      <c r="C21" s="111">
        <f>IF(AND(試算シート!$C26="〇",$D$2="×",$E$2="×",$F$2="×",40&lt;=試算シート!$D26,試算シート!$D26&lt;65),料率入力欄!$C$8,0)</f>
        <v>0</v>
      </c>
      <c r="D21" s="111">
        <f>IF(AND(試算シート!$C26="〇",$D$2="〇",40&lt;=試算シート!$D26,試算シート!$D26&lt;65),料率入力欄!$C$8-料率入力欄!$J$11,0)</f>
        <v>0</v>
      </c>
      <c r="E21" s="111">
        <f>IF(AND(試算シート!$C26="〇",$E$2="〇",40&lt;=試算シート!$D26,試算シート!$D26&lt;65),料率入力欄!$C$8-料率入力欄!$J$10,0)</f>
        <v>0</v>
      </c>
      <c r="F21" s="112">
        <f>IF(AND(試算シート!$C26="〇",$F$2="〇",40&lt;=試算シート!$D26,試算シート!$D26&lt;65),料率入力欄!$C$8-料率入力欄!$J$9,0)</f>
        <v>0</v>
      </c>
      <c r="G21" s="110">
        <f>IF(AND(試算シート!$C26="〇",$D$2="×",$E$2="×",$F$2="×",40&lt;=試算シート!$D26,試算シート!$D26&lt;65),料率入力欄!$E$8,0)</f>
        <v>0</v>
      </c>
      <c r="H21" s="111">
        <f>IF(AND(試算シート!$C26="〇",$D$2="〇",40&lt;=試算シート!$D26,試算シート!$D26&lt;65),料率入力欄!$E$8-料率入力欄!$L$11,0)</f>
        <v>0</v>
      </c>
      <c r="I21" s="111">
        <f>IF(AND(試算シート!$C26="〇",$E$2="〇",40&lt;=試算シート!$D26,試算シート!$D26&lt;65),料率入力欄!$E$8-料率入力欄!$L$10,0)</f>
        <v>0</v>
      </c>
      <c r="J21" s="112">
        <f>IF(AND(試算シート!$C26="〇",$F$2="〇",40&lt;=試算シート!$D26,試算シート!$D26&lt;65),料率入力欄!$E$8-料率入力欄!$L$9,0)</f>
        <v>0</v>
      </c>
    </row>
    <row r="22" spans="1:14" ht="36" thickBot="1" x14ac:dyDescent="0.45">
      <c r="A22" s="57" t="s">
        <v>50</v>
      </c>
      <c r="B22" s="109">
        <f>IF(AND(試算シート!$C27="〇",40&lt;=試算シート!$D27,試算シート!$D27&lt;65),試算シート!$K27*料率入力欄!$B$8,0)</f>
        <v>0</v>
      </c>
      <c r="C22" s="111">
        <f>IF(AND(試算シート!$C27="〇",$D$2="×",$E$2="×",$F$2="×",40&lt;=試算シート!$D27,試算シート!$D27&lt;65),料率入力欄!$C$8,0)</f>
        <v>0</v>
      </c>
      <c r="D22" s="111">
        <f>IF(AND(試算シート!$C27="〇",$D$2="〇",40&lt;=試算シート!$D27,試算シート!$D27&lt;65),料率入力欄!$C$8-料率入力欄!$J$11,0)</f>
        <v>0</v>
      </c>
      <c r="E22" s="111">
        <f>IF(AND(試算シート!$C27="〇",$E$2="〇",40&lt;=試算シート!$D27,試算シート!$D27&lt;65),料率入力欄!$C$8-料率入力欄!$J$10,0)</f>
        <v>0</v>
      </c>
      <c r="F22" s="112">
        <f>IF(AND(試算シート!$C27="〇",$F$2="〇",40&lt;=試算シート!$D27,試算シート!$D27&lt;65),料率入力欄!$C$8-料率入力欄!$J$9,0)</f>
        <v>0</v>
      </c>
      <c r="G22" s="110">
        <f>IF(AND(試算シート!$C27="〇",$D$2="×",$E$2="×",$F$2="×",40&lt;=試算シート!$D27,試算シート!$D27&lt;65),料率入力欄!$E$8,0)</f>
        <v>0</v>
      </c>
      <c r="H22" s="111">
        <f>IF(AND(試算シート!$C27="〇",$D$2="〇",40&lt;=試算シート!$D27,試算シート!$D27&lt;65),料率入力欄!$E$8-料率入力欄!$L$11,0)</f>
        <v>0</v>
      </c>
      <c r="I22" s="111">
        <f>IF(AND(試算シート!$C27="〇",$E$2="〇",40&lt;=試算シート!$D27,試算シート!$D27&lt;65),料率入力欄!$E$8-料率入力欄!$L$10,0)</f>
        <v>0</v>
      </c>
      <c r="J22" s="112">
        <f>IF(AND(試算シート!$C27="〇",$F$2="〇",40&lt;=試算シート!$D27,試算シート!$D27&lt;65),料率入力欄!$E$8-料率入力欄!$L$9,0)</f>
        <v>0</v>
      </c>
    </row>
    <row r="23" spans="1:14" ht="36" thickBot="1" x14ac:dyDescent="0.45">
      <c r="A23" s="57" t="s">
        <v>51</v>
      </c>
      <c r="B23" s="109">
        <f>IF(AND(試算シート!$C28="〇",40&lt;=試算シート!$D28,試算シート!$D28&lt;65),試算シート!$K28*料率入力欄!$B$8,0)</f>
        <v>0</v>
      </c>
      <c r="C23" s="111">
        <f>IF(AND(試算シート!$C28="〇",$D$2="×",$E$2="×",$F$2="×",40&lt;=試算シート!$D28,試算シート!$D28&lt;65),料率入力欄!$C$8,0)</f>
        <v>0</v>
      </c>
      <c r="D23" s="111">
        <f>IF(AND(試算シート!$C28="〇",$D$2="〇",40&lt;=試算シート!$D28,試算シート!$D28&lt;65),料率入力欄!$C$8-料率入力欄!$J$11,0)</f>
        <v>0</v>
      </c>
      <c r="E23" s="111">
        <f>IF(AND(試算シート!$C28="〇",$E$2="〇",40&lt;=試算シート!$D28,試算シート!$D28&lt;65),料率入力欄!$C$8-料率入力欄!$J$10,0)</f>
        <v>0</v>
      </c>
      <c r="F23" s="112">
        <f>IF(AND(試算シート!$C28="〇",$F$2="〇",40&lt;=試算シート!$D28,試算シート!$D28&lt;65),料率入力欄!$C$8-料率入力欄!$J$9,0)</f>
        <v>0</v>
      </c>
      <c r="G23" s="110">
        <f>IF(AND(試算シート!$C28="〇",$D$2="×",$E$2="×",$F$2="×",40&lt;=試算シート!$D28,試算シート!$D28&lt;65),料率入力欄!$E$8,0)</f>
        <v>0</v>
      </c>
      <c r="H23" s="111">
        <f>IF(AND(試算シート!$C28="〇",$D$2="〇",40&lt;=試算シート!$D28,試算シート!$D28&lt;65),料率入力欄!$E$8-料率入力欄!$L$11,0)</f>
        <v>0</v>
      </c>
      <c r="I23" s="111">
        <f>IF(AND(試算シート!$C28="〇",$E$2="〇",40&lt;=試算シート!$D28,試算シート!$D28&lt;65),料率入力欄!$E$8-料率入力欄!$L$10,0)</f>
        <v>0</v>
      </c>
      <c r="J23" s="112">
        <f>IF(AND(試算シート!$C28="〇",$F$2="〇",40&lt;=試算シート!$D28,試算シート!$D28&lt;65),料率入力欄!$E$8-料率入力欄!$L$9,0)</f>
        <v>0</v>
      </c>
    </row>
    <row r="24" spans="1:14" ht="36" thickBot="1" x14ac:dyDescent="0.45">
      <c r="A24" s="57" t="s">
        <v>52</v>
      </c>
      <c r="B24" s="109">
        <f>IF(AND(試算シート!$C29="〇",40&lt;=試算シート!$D29,試算シート!$D29&lt;65),試算シート!$K29*料率入力欄!$B$8,0)</f>
        <v>0</v>
      </c>
      <c r="C24" s="111">
        <f>IF(AND(試算シート!$C29="〇",$D$2="×",$E$2="×",$F$2="×",40&lt;=試算シート!$D29,試算シート!$D29&lt;65),料率入力欄!$C$8,0)</f>
        <v>0</v>
      </c>
      <c r="D24" s="111">
        <f>IF(AND(試算シート!$C29="〇",$D$2="〇",40&lt;=試算シート!$D29,試算シート!$D29&lt;65),料率入力欄!$C$8-料率入力欄!$J$11,0)</f>
        <v>0</v>
      </c>
      <c r="E24" s="111">
        <f>IF(AND(試算シート!$C29="〇",$E$2="〇",40&lt;=試算シート!$D29,試算シート!$D29&lt;65),料率入力欄!$C$8-料率入力欄!$J$10,0)</f>
        <v>0</v>
      </c>
      <c r="F24" s="112">
        <f>IF(AND(試算シート!$C29="〇",$F$2="〇",40&lt;=試算シート!$D29,試算シート!$D29&lt;65),料率入力欄!$C$8-料率入力欄!$J$9,0)</f>
        <v>0</v>
      </c>
      <c r="G24" s="110">
        <f>IF(AND(試算シート!$C29="〇",$D$2="×",$E$2="×",$F$2="×",40&lt;=試算シート!$D29,試算シート!$D29&lt;65),料率入力欄!$E$8,0)</f>
        <v>0</v>
      </c>
      <c r="H24" s="111">
        <f>IF(AND(試算シート!$C29="〇",$D$2="〇",40&lt;=試算シート!$D29,試算シート!$D29&lt;65),料率入力欄!$E$8-料率入力欄!$L$11,0)</f>
        <v>0</v>
      </c>
      <c r="I24" s="111">
        <f>IF(AND(試算シート!$C29="〇",$E$2="〇",40&lt;=試算シート!$D29,試算シート!$D29&lt;65),料率入力欄!$E$8-料率入力欄!$L$10,0)</f>
        <v>0</v>
      </c>
      <c r="J24" s="112">
        <f>IF(AND(試算シート!$C29="〇",$F$2="〇",40&lt;=試算シート!$D29,試算シート!$D29&lt;65),料率入力欄!$E$8-料率入力欄!$L$9,0)</f>
        <v>0</v>
      </c>
    </row>
    <row r="25" spans="1:14" ht="36" thickBot="1" x14ac:dyDescent="0.45">
      <c r="A25" s="57" t="s">
        <v>53</v>
      </c>
      <c r="B25" s="109">
        <f>IF(AND(試算シート!$C30="〇",40&lt;=試算シート!$D30,試算シート!$D30&lt;65),試算シート!$K30*料率入力欄!$B$8,0)</f>
        <v>0</v>
      </c>
      <c r="C25" s="111">
        <f>IF(AND(試算シート!$C30="〇",$D$2="×",$E$2="×",$F$2="×",40&lt;=試算シート!$D30,試算シート!$D30&lt;65),料率入力欄!$C$8,0)</f>
        <v>0</v>
      </c>
      <c r="D25" s="111">
        <f>IF(AND(試算シート!$C30="〇",$D$2="〇",40&lt;=試算シート!$D30,試算シート!$D30&lt;65),料率入力欄!$C$8-料率入力欄!$J$11,0)</f>
        <v>0</v>
      </c>
      <c r="E25" s="111">
        <f>IF(AND(試算シート!$C30="〇",$E$2="〇",40&lt;=試算シート!$D30,試算シート!$D30&lt;65),料率入力欄!$C$8-料率入力欄!$J$10,0)</f>
        <v>0</v>
      </c>
      <c r="F25" s="112">
        <f>IF(AND(試算シート!$C30="〇",$F$2="〇",40&lt;=試算シート!$D30,試算シート!$D30&lt;65),料率入力欄!$C$8-料率入力欄!$J$9,0)</f>
        <v>0</v>
      </c>
      <c r="G25" s="110">
        <f>IF(AND(試算シート!$C30="〇",$D$2="×",$E$2="×",$F$2="×",40&lt;=試算シート!$D30,試算シート!$D30&lt;65),料率入力欄!$E$8,0)</f>
        <v>0</v>
      </c>
      <c r="H25" s="111">
        <f>IF(AND(試算シート!$C30="〇",$D$2="〇",40&lt;=試算シート!$D30,試算シート!$D30&lt;65),料率入力欄!$E$8-料率入力欄!$L$11,0)</f>
        <v>0</v>
      </c>
      <c r="I25" s="111">
        <f>IF(AND(試算シート!$C30="〇",$E$2="〇",40&lt;=試算シート!$D30,試算シート!$D30&lt;65),料率入力欄!$E$8-料率入力欄!$L$10,0)</f>
        <v>0</v>
      </c>
      <c r="J25" s="112">
        <f>IF(AND(試算シート!$C30="〇",$F$2="〇",40&lt;=試算シート!$D30,試算シート!$D30&lt;65),料率入力欄!$E$8-料率入力欄!$L$9,0)</f>
        <v>0</v>
      </c>
    </row>
    <row r="26" spans="1:14" ht="36" thickBot="1" x14ac:dyDescent="0.45">
      <c r="A26" s="57" t="s">
        <v>54</v>
      </c>
      <c r="B26" s="113">
        <f>IF(AND(試算シート!$C31="〇",40&lt;=試算シート!$D31,試算シート!$D31&lt;65),試算シート!$K31*料率入力欄!$B$8,0)</f>
        <v>0</v>
      </c>
      <c r="C26" s="115">
        <f>IF(AND(試算シート!$C31="〇",$D$2="×",$E$2="×",$F$2="×",40&lt;=試算シート!$D31,試算シート!$D31&lt;65),料率入力欄!$C$8,0)</f>
        <v>0</v>
      </c>
      <c r="D26" s="115">
        <f>IF(AND(試算シート!$C31="〇",$D$2="〇",40&lt;=試算シート!$D31,試算シート!$D31&lt;65),料率入力欄!$C$8-料率入力欄!$J$11,0)</f>
        <v>0</v>
      </c>
      <c r="E26" s="115">
        <f>IF(AND(試算シート!$C31="〇",$E$2="〇",40&lt;=試算シート!$D31,試算シート!$D31&lt;65),料率入力欄!$C$8-料率入力欄!$J$10,0)</f>
        <v>0</v>
      </c>
      <c r="F26" s="116">
        <f>IF(AND(試算シート!$C31="〇",$F$2="〇",40&lt;=試算シート!$D31,試算シート!$D31&lt;65),料率入力欄!$C$8-料率入力欄!$J$9,0)</f>
        <v>0</v>
      </c>
      <c r="G26" s="114">
        <f>IF(AND(試算シート!$C31="〇",$D$2="×",$E$2="×",$F$2="×",40&lt;=試算シート!$D31,試算シート!$D31&lt;65),料率入力欄!$E$8,0)</f>
        <v>0</v>
      </c>
      <c r="H26" s="115">
        <f>IF(AND(試算シート!$C31="〇",$D$2="〇",40&lt;=試算シート!$D31,試算シート!$D31&lt;65),料率入力欄!$E$8-料率入力欄!$L$11,0)</f>
        <v>0</v>
      </c>
      <c r="I26" s="115">
        <f>IF(AND(試算シート!$C31="〇",$E$2="〇",40&lt;=試算シート!$D31,試算シート!$D31&lt;65),料率入力欄!$E$8-料率入力欄!$L$10,0)</f>
        <v>0</v>
      </c>
      <c r="J26" s="116">
        <f>IF(AND(試算シート!$C31="〇",$F$2="〇",40&lt;=試算シート!$D31,試算シート!$D31&lt;65),料率入力欄!$E$8-料率入力欄!$L$9,0)</f>
        <v>0</v>
      </c>
    </row>
    <row r="27" spans="1:14" ht="19.5" thickBot="1" x14ac:dyDescent="0.45"/>
    <row r="28" spans="1:14" ht="36" thickBot="1" x14ac:dyDescent="0.75">
      <c r="G28" s="117">
        <f>IF(OR(G$21=料率入力欄!E8,G$22=料率入力欄!E8,G$23=料率入力欄!E8,G$24=料率入力欄!E8,G$25=料率入力欄!E8,G$26=料率入力欄!E8),料率入力欄!E8,0)</f>
        <v>0</v>
      </c>
      <c r="H28" s="118">
        <f>IF(OR(H$21=料率入力欄!E8-料率入力欄!L11,H$22=料率入力欄!E8-料率入力欄!L11,H$23=料率入力欄!E8-料率入力欄!L11,H$24=料率入力欄!E8-料率入力欄!L11,H$25=料率入力欄!E8-料率入力欄!L11,H$26=料率入力欄!E8-料率入力欄!L11),料率入力欄!E8-料率入力欄!L11,0)</f>
        <v>0</v>
      </c>
      <c r="I28" s="118">
        <f>IF(OR(I$21=料率入力欄!E8-料率入力欄!L10,I$22=料率入力欄!E8-料率入力欄!L10,I$23=料率入力欄!E8-料率入力欄!L10,I$24=料率入力欄!E8-料率入力欄!L10,I$25=料率入力欄!E8-料率入力欄!L10,I$26=料率入力欄!E8-料率入力欄!L10),料率入力欄!E8-料率入力欄!L10,0)</f>
        <v>0</v>
      </c>
      <c r="J28" s="119">
        <f>IF(OR(J$21=料率入力欄!E8-料率入力欄!L9,J$22=料率入力欄!E8-料率入力欄!L9,J$23=料率入力欄!E8-料率入力欄!L9,J$24=料率入力欄!E8-料率入力欄!L9,J$25=料率入力欄!E8-料率入力欄!L9,J$26=料率入力欄!E8-料率入力欄!L9),料率入力欄!E8-料率入力欄!L9,0)</f>
        <v>0</v>
      </c>
    </row>
  </sheetData>
  <sheetProtection sheet="1" objects="1" scenarios="1"/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="60" zoomScaleNormal="60" workbookViewId="0"/>
  </sheetViews>
  <sheetFormatPr defaultRowHeight="18.75" x14ac:dyDescent="0.4"/>
  <cols>
    <col min="1" max="1" width="11.375" style="40" bestFit="1" customWidth="1"/>
    <col min="2" max="2" width="14" style="40" bestFit="1" customWidth="1"/>
    <col min="3" max="4" width="16.75" style="40" bestFit="1" customWidth="1"/>
    <col min="5" max="5" width="17" style="40" bestFit="1" customWidth="1"/>
    <col min="6" max="6" width="20.125" style="40" bestFit="1" customWidth="1"/>
    <col min="7" max="7" width="9" style="40"/>
    <col min="8" max="8" width="9" style="40" customWidth="1"/>
    <col min="9" max="9" width="14" style="40" bestFit="1" customWidth="1"/>
    <col min="10" max="10" width="23" style="40" bestFit="1" customWidth="1"/>
    <col min="11" max="11" width="16.75" style="40" bestFit="1" customWidth="1"/>
    <col min="12" max="12" width="21" style="40" bestFit="1" customWidth="1"/>
    <col min="13" max="16384" width="9" style="40"/>
  </cols>
  <sheetData>
    <row r="1" spans="1:12" ht="24" x14ac:dyDescent="0.5">
      <c r="A1" s="206"/>
      <c r="B1" s="206"/>
      <c r="C1" s="206"/>
      <c r="D1" s="206"/>
      <c r="E1" s="206"/>
      <c r="F1" s="206"/>
      <c r="G1" s="206"/>
      <c r="H1" s="207"/>
      <c r="I1" s="207"/>
      <c r="J1" s="207"/>
      <c r="K1" s="207"/>
      <c r="L1" s="207"/>
    </row>
    <row r="2" spans="1:12" s="76" customFormat="1" ht="24" x14ac:dyDescent="0.4">
      <c r="A2" s="208"/>
      <c r="B2" s="208"/>
      <c r="C2" s="208"/>
      <c r="D2" s="208"/>
      <c r="E2" s="208"/>
      <c r="F2" s="208"/>
      <c r="G2" s="209"/>
      <c r="H2" s="210" t="s">
        <v>89</v>
      </c>
      <c r="I2" s="210" t="s">
        <v>90</v>
      </c>
      <c r="J2" s="210" t="s">
        <v>91</v>
      </c>
      <c r="K2" s="210" t="s">
        <v>92</v>
      </c>
      <c r="L2" s="210" t="s">
        <v>93</v>
      </c>
    </row>
    <row r="3" spans="1:12" ht="33" x14ac:dyDescent="0.65">
      <c r="A3" s="207"/>
      <c r="B3" s="207"/>
      <c r="C3" s="207"/>
      <c r="D3" s="207"/>
      <c r="E3" s="207"/>
      <c r="F3" s="207"/>
      <c r="G3" s="206"/>
      <c r="H3" s="211" t="s">
        <v>94</v>
      </c>
      <c r="I3" s="212">
        <v>2</v>
      </c>
      <c r="J3" s="213">
        <v>6885</v>
      </c>
      <c r="K3" s="213">
        <v>13769</v>
      </c>
      <c r="L3" s="213">
        <v>6715</v>
      </c>
    </row>
    <row r="4" spans="1:12" ht="33" x14ac:dyDescent="0.65">
      <c r="A4" s="207"/>
      <c r="B4" s="207"/>
      <c r="C4" s="207"/>
      <c r="D4" s="207"/>
      <c r="E4" s="207"/>
      <c r="F4" s="207"/>
      <c r="G4" s="206"/>
      <c r="H4" s="211"/>
      <c r="I4" s="212">
        <v>5</v>
      </c>
      <c r="J4" s="214">
        <v>17212</v>
      </c>
      <c r="K4" s="213">
        <v>8606</v>
      </c>
      <c r="L4" s="213">
        <v>16787</v>
      </c>
    </row>
    <row r="5" spans="1:12" ht="48" x14ac:dyDescent="0.65">
      <c r="A5" s="215" t="s">
        <v>95</v>
      </c>
      <c r="B5" s="210" t="s">
        <v>96</v>
      </c>
      <c r="C5" s="210" t="s">
        <v>97</v>
      </c>
      <c r="D5" s="210" t="s">
        <v>92</v>
      </c>
      <c r="E5" s="210" t="s">
        <v>98</v>
      </c>
      <c r="F5" s="210" t="s">
        <v>99</v>
      </c>
      <c r="G5" s="206"/>
      <c r="H5" s="211"/>
      <c r="I5" s="212">
        <v>7</v>
      </c>
      <c r="J5" s="213">
        <v>24097</v>
      </c>
      <c r="K5" s="213">
        <v>5163</v>
      </c>
      <c r="L5" s="213">
        <v>23502</v>
      </c>
    </row>
    <row r="6" spans="1:12" ht="33" x14ac:dyDescent="0.65">
      <c r="A6" s="210" t="s">
        <v>94</v>
      </c>
      <c r="B6" s="216">
        <v>9.2999999999999999E-2</v>
      </c>
      <c r="C6" s="217">
        <v>34424</v>
      </c>
      <c r="D6" s="217">
        <v>17212</v>
      </c>
      <c r="E6" s="217">
        <v>33574</v>
      </c>
      <c r="F6" s="217">
        <v>650000</v>
      </c>
      <c r="G6" s="206"/>
      <c r="H6" s="211" t="s">
        <v>100</v>
      </c>
      <c r="I6" s="212">
        <v>2</v>
      </c>
      <c r="J6" s="213">
        <v>2207</v>
      </c>
      <c r="K6" s="213">
        <v>4413</v>
      </c>
      <c r="L6" s="213">
        <v>2153</v>
      </c>
    </row>
    <row r="7" spans="1:12" ht="33" x14ac:dyDescent="0.65">
      <c r="A7" s="210" t="s">
        <v>100</v>
      </c>
      <c r="B7" s="216">
        <v>3.0200000000000001E-2</v>
      </c>
      <c r="C7" s="217">
        <v>11034</v>
      </c>
      <c r="D7" s="217">
        <v>5517</v>
      </c>
      <c r="E7" s="217">
        <v>10761</v>
      </c>
      <c r="F7" s="217">
        <v>240000</v>
      </c>
      <c r="G7" s="206"/>
      <c r="H7" s="211"/>
      <c r="I7" s="212">
        <v>5</v>
      </c>
      <c r="J7" s="213">
        <v>5517</v>
      </c>
      <c r="K7" s="213">
        <v>2758</v>
      </c>
      <c r="L7" s="213">
        <v>5381</v>
      </c>
    </row>
    <row r="8" spans="1:12" ht="33" x14ac:dyDescent="0.65">
      <c r="A8" s="210" t="s">
        <v>101</v>
      </c>
      <c r="B8" s="216">
        <v>2.5600000000000001E-2</v>
      </c>
      <c r="C8" s="217">
        <v>18784</v>
      </c>
      <c r="D8" s="218"/>
      <c r="E8" s="217">
        <v>0</v>
      </c>
      <c r="F8" s="217">
        <v>170000</v>
      </c>
      <c r="G8" s="206"/>
      <c r="H8" s="211"/>
      <c r="I8" s="212">
        <v>7</v>
      </c>
      <c r="J8" s="213">
        <v>7724</v>
      </c>
      <c r="K8" s="213">
        <v>1655</v>
      </c>
      <c r="L8" s="213">
        <v>7533</v>
      </c>
    </row>
    <row r="9" spans="1:12" ht="33" x14ac:dyDescent="0.65">
      <c r="A9" s="207"/>
      <c r="B9" s="207"/>
      <c r="C9" s="207"/>
      <c r="D9" s="207"/>
      <c r="E9" s="207"/>
      <c r="F9" s="207"/>
      <c r="G9" s="206"/>
      <c r="H9" s="211" t="s">
        <v>101</v>
      </c>
      <c r="I9" s="212">
        <v>2</v>
      </c>
      <c r="J9" s="213">
        <v>3757</v>
      </c>
      <c r="K9" s="219"/>
      <c r="L9" s="213">
        <v>0</v>
      </c>
    </row>
    <row r="10" spans="1:12" ht="33" x14ac:dyDescent="0.65">
      <c r="A10" s="207"/>
      <c r="B10" s="207"/>
      <c r="C10" s="207"/>
      <c r="D10" s="207"/>
      <c r="E10" s="207"/>
      <c r="F10" s="207"/>
      <c r="G10" s="206"/>
      <c r="H10" s="211"/>
      <c r="I10" s="212">
        <v>5</v>
      </c>
      <c r="J10" s="213">
        <v>9392</v>
      </c>
      <c r="K10" s="219"/>
      <c r="L10" s="213">
        <v>0</v>
      </c>
    </row>
    <row r="11" spans="1:12" ht="33" x14ac:dyDescent="0.65">
      <c r="A11" s="207"/>
      <c r="B11" s="207"/>
      <c r="C11" s="207"/>
      <c r="D11" s="207"/>
      <c r="E11" s="207"/>
      <c r="F11" s="220"/>
      <c r="G11" s="206"/>
      <c r="H11" s="211"/>
      <c r="I11" s="212">
        <v>7</v>
      </c>
      <c r="J11" s="213">
        <v>13149</v>
      </c>
      <c r="K11" s="219"/>
      <c r="L11" s="213">
        <v>0</v>
      </c>
    </row>
    <row r="12" spans="1:12" ht="24" x14ac:dyDescent="0.5">
      <c r="A12" s="207"/>
      <c r="B12" s="207"/>
      <c r="C12" s="207"/>
      <c r="D12" s="207"/>
      <c r="E12" s="207"/>
      <c r="F12" s="220"/>
      <c r="G12" s="206"/>
      <c r="H12" s="207"/>
      <c r="I12" s="207"/>
      <c r="J12" s="207"/>
      <c r="K12" s="207"/>
      <c r="L12" s="207"/>
    </row>
    <row r="13" spans="1:12" ht="24" x14ac:dyDescent="0.5">
      <c r="A13" s="207"/>
      <c r="B13" s="207"/>
      <c r="C13" s="207"/>
      <c r="D13" s="207"/>
      <c r="E13" s="207"/>
      <c r="F13" s="220"/>
      <c r="G13" s="206"/>
      <c r="H13" s="207"/>
      <c r="I13" s="207"/>
      <c r="J13" s="207"/>
      <c r="K13" s="207"/>
      <c r="L13" s="207"/>
    </row>
    <row r="14" spans="1:12" s="91" customFormat="1" ht="24" x14ac:dyDescent="0.5">
      <c r="A14" s="221"/>
      <c r="B14" s="206"/>
      <c r="C14" s="206"/>
      <c r="D14" s="206"/>
      <c r="E14" s="206"/>
      <c r="F14" s="222"/>
      <c r="G14" s="206"/>
      <c r="H14" s="206"/>
      <c r="I14" s="206"/>
      <c r="J14" s="223">
        <f>ROUNDUP($C$6*0.2,0)</f>
        <v>6885</v>
      </c>
      <c r="K14" s="223">
        <f>ROUNDDOWN($D$6*0.8,0)</f>
        <v>13769</v>
      </c>
      <c r="L14" s="223">
        <f>ROUNDUP($E$6*0.2,0)</f>
        <v>6715</v>
      </c>
    </row>
    <row r="15" spans="1:12" s="91" customFormat="1" ht="24" x14ac:dyDescent="0.5">
      <c r="A15" s="221"/>
      <c r="B15" s="206"/>
      <c r="C15" s="206"/>
      <c r="D15" s="206"/>
      <c r="E15" s="206"/>
      <c r="F15" s="222"/>
      <c r="G15" s="206"/>
      <c r="H15" s="206"/>
      <c r="I15" s="206"/>
      <c r="J15" s="223">
        <f>ROUNDUP($C$6*0.5,0)</f>
        <v>17212</v>
      </c>
      <c r="K15" s="223">
        <f>ROUNDDOWN($D$6*0.5,0)</f>
        <v>8606</v>
      </c>
      <c r="L15" s="223">
        <f>ROUNDUP($E$6*0.5,0)</f>
        <v>16787</v>
      </c>
    </row>
    <row r="16" spans="1:12" s="91" customFormat="1" ht="24" x14ac:dyDescent="0.5">
      <c r="A16" s="221"/>
      <c r="B16" s="206"/>
      <c r="C16" s="206"/>
      <c r="D16" s="206"/>
      <c r="E16" s="206"/>
      <c r="F16" s="222"/>
      <c r="G16" s="206"/>
      <c r="H16" s="206"/>
      <c r="I16" s="206"/>
      <c r="J16" s="223">
        <f>ROUNDUP($C$6*0.7,0)</f>
        <v>24097</v>
      </c>
      <c r="K16" s="223">
        <f>ROUNDDOWN($D$6*0.3,0)</f>
        <v>5163</v>
      </c>
      <c r="L16" s="223">
        <f>ROUNDUP($E$6*0.7,0)</f>
        <v>23502</v>
      </c>
    </row>
    <row r="17" spans="1:12" s="91" customFormat="1" ht="24" x14ac:dyDescent="0.5">
      <c r="A17" s="221"/>
      <c r="B17" s="206"/>
      <c r="C17" s="206"/>
      <c r="D17" s="206"/>
      <c r="E17" s="206"/>
      <c r="F17" s="206"/>
      <c r="G17" s="206"/>
      <c r="H17" s="206"/>
      <c r="I17" s="206"/>
      <c r="J17" s="224">
        <f>ROUNDUP($C$7*0.2,0)</f>
        <v>2207</v>
      </c>
      <c r="K17" s="224">
        <f>ROUNDDOWN($D$7*0.8,0)</f>
        <v>4413</v>
      </c>
      <c r="L17" s="224">
        <f>ROUNDUP($E$7*0.2,0)</f>
        <v>2153</v>
      </c>
    </row>
    <row r="18" spans="1:12" s="91" customFormat="1" ht="24" x14ac:dyDescent="0.5">
      <c r="A18" s="221"/>
      <c r="B18" s="206"/>
      <c r="C18" s="206"/>
      <c r="D18" s="206"/>
      <c r="E18" s="206"/>
      <c r="F18" s="206"/>
      <c r="G18" s="206"/>
      <c r="H18" s="206"/>
      <c r="I18" s="206"/>
      <c r="J18" s="224">
        <f>ROUNDUP($C$7*0.5,0)</f>
        <v>5517</v>
      </c>
      <c r="K18" s="224">
        <f>ROUNDDOWN($D$7*0.5,0)</f>
        <v>2758</v>
      </c>
      <c r="L18" s="224">
        <f>ROUNDUP($E$7*0.5,0)</f>
        <v>5381</v>
      </c>
    </row>
    <row r="19" spans="1:12" s="91" customFormat="1" ht="24" x14ac:dyDescent="0.5">
      <c r="A19" s="221"/>
      <c r="B19" s="206"/>
      <c r="C19" s="206"/>
      <c r="D19" s="206"/>
      <c r="E19" s="206"/>
      <c r="F19" s="206"/>
      <c r="G19" s="206"/>
      <c r="H19" s="206"/>
      <c r="I19" s="206"/>
      <c r="J19" s="224">
        <f>ROUNDUP($C$7*0.7,0)</f>
        <v>7724</v>
      </c>
      <c r="K19" s="224">
        <f>ROUNDDOWN($D$7*0.3,0)</f>
        <v>1655</v>
      </c>
      <c r="L19" s="224">
        <f>ROUNDUP($E$7*0.7,0)</f>
        <v>7533</v>
      </c>
    </row>
    <row r="20" spans="1:12" ht="24" customHeight="1" x14ac:dyDescent="0.5">
      <c r="A20" s="207"/>
      <c r="B20" s="207"/>
      <c r="C20" s="207"/>
      <c r="D20" s="207"/>
      <c r="E20" s="207"/>
      <c r="F20" s="207"/>
      <c r="G20" s="207"/>
      <c r="H20" s="207"/>
      <c r="I20" s="207"/>
      <c r="J20" s="225">
        <f>ROUNDUP($C$8*0.2,0)</f>
        <v>3757</v>
      </c>
      <c r="K20" s="226"/>
      <c r="L20" s="207"/>
    </row>
    <row r="21" spans="1:12" ht="24" customHeight="1" x14ac:dyDescent="0.5">
      <c r="A21" s="207"/>
      <c r="B21" s="207"/>
      <c r="C21" s="207"/>
      <c r="D21" s="207"/>
      <c r="E21" s="207"/>
      <c r="F21" s="207"/>
      <c r="G21" s="207"/>
      <c r="H21" s="207"/>
      <c r="I21" s="207"/>
      <c r="J21" s="225">
        <f>ROUNDUP($C$8*0.5,0)</f>
        <v>9392</v>
      </c>
      <c r="K21" s="226"/>
      <c r="L21" s="207"/>
    </row>
    <row r="22" spans="1:12" ht="24" customHeight="1" x14ac:dyDescent="0.5">
      <c r="A22" s="207"/>
      <c r="B22" s="207"/>
      <c r="C22" s="207"/>
      <c r="D22" s="207"/>
      <c r="E22" s="207"/>
      <c r="F22" s="207"/>
      <c r="G22" s="207"/>
      <c r="H22" s="207"/>
      <c r="I22" s="207"/>
      <c r="J22" s="225">
        <f>ROUNDUP($C$8*0.7,0)</f>
        <v>13149</v>
      </c>
      <c r="K22" s="226"/>
      <c r="L22" s="207"/>
    </row>
    <row r="23" spans="1:12" x14ac:dyDescent="0.4">
      <c r="J23" s="138"/>
      <c r="K23" s="138"/>
    </row>
    <row r="24" spans="1:12" x14ac:dyDescent="0.4">
      <c r="J24" s="138"/>
      <c r="K24" s="138"/>
    </row>
  </sheetData>
  <sheetProtection sheet="1" objects="1" scenarios="1"/>
  <mergeCells count="3">
    <mergeCell ref="H3:H5"/>
    <mergeCell ref="H6:H8"/>
    <mergeCell ref="H9:H1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試算シート</vt:lpstr>
      <vt:lpstr>所得計算</vt:lpstr>
      <vt:lpstr>保険料計算</vt:lpstr>
      <vt:lpstr>料率入力欄</vt:lpstr>
    </vt:vector>
  </TitlesOfParts>
  <Company>四條畷市役所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u5020</dc:creator>
  <cp:lastModifiedBy>u5020</cp:lastModifiedBy>
  <cp:lastPrinted>2025-01-28T02:43:46Z</cp:lastPrinted>
  <dcterms:created xsi:type="dcterms:W3CDTF">2024-04-15T23:22:59Z</dcterms:created>
  <dcterms:modified xsi:type="dcterms:W3CDTF">2025-03-28T04:40:15Z</dcterms:modified>
</cp:coreProperties>
</file>